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omments3.xml" ContentType="application/vnd.openxmlformats-officedocument.spreadsheetml.comment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1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atacenter\UserShares\Rileysweeney\Downloads\"/>
    </mc:Choice>
  </mc:AlternateContent>
  <xr:revisionPtr revIDLastSave="0" documentId="8_{A3C5F885-FE3B-4758-8244-58257A1D9F92}" xr6:coauthVersionLast="47" xr6:coauthVersionMax="47" xr10:uidLastSave="{00000000-0000-0000-0000-000000000000}"/>
  <workbookProtection workbookAlgorithmName="SHA-512" workbookHashValue="9DaMrV2GmDySjljYlxvQy1XXiG+UG+1q5xW1QjlbvJooha5EbIMR0dbqEeYAWM0HVbLKlNbxKylHxMzLJqM/9A==" workbookSaltValue="uDYBxAZhEicpUVZQtdRaAQ==" workbookSpinCount="100000" lockStructure="1"/>
  <bookViews>
    <workbookView xWindow="-120" yWindow="-120" windowWidth="29040" windowHeight="16440" tabRatio="955" firstSheet="7" activeTab="7" xr2:uid="{00000000-000D-0000-FFFF-FFFF00000000}"/>
  </bookViews>
  <sheets>
    <sheet name="Central Services" sheetId="123" state="hidden" r:id="rId1"/>
    <sheet name="Computer " sheetId="110" state="hidden" r:id="rId2"/>
    <sheet name="Equipment" sheetId="112" state="hidden" r:id="rId3"/>
    <sheet name="Income" sheetId="128" state="hidden" r:id="rId4"/>
    <sheet name="Phone" sheetId="122" state="hidden" r:id="rId5"/>
    <sheet name="Vehicle " sheetId="126" state="hidden" r:id="rId6"/>
    <sheet name="Transfers" sheetId="125" state="hidden" r:id="rId7"/>
    <sheet name="Mayor's Message" sheetId="132" r:id="rId8"/>
    <sheet name="Dashboard" sheetId="131" r:id="rId9"/>
    <sheet name="Fund Balance Report" sheetId="20" r:id="rId10"/>
    <sheet name="001 GF Current Expense" sheetId="21" r:id="rId11"/>
    <sheet name="002 GF Contingency Reserve" sheetId="27" r:id="rId12"/>
    <sheet name="003 GF Facilities Reserve" sheetId="25" r:id="rId13"/>
    <sheet name="004 GF Leoff " sheetId="29" r:id="rId14"/>
    <sheet name="005 GF Solid Waste UT" sheetId="31" r:id="rId15"/>
    <sheet name="007 GF PPC Rev" sheetId="33" r:id="rId16"/>
    <sheet name="101 Streets" sheetId="74" r:id="rId17"/>
    <sheet name="102 Park Mitigation" sheetId="75" r:id="rId18"/>
    <sheet name="104 Traffic Mitigation" sheetId="76" r:id="rId19"/>
    <sheet name="106 Criminal Justice" sheetId="77" r:id="rId20"/>
    <sheet name="107 Local Criminal Justice" sheetId="78" r:id="rId21"/>
    <sheet name="113 TBD" sheetId="79" r:id="rId22"/>
    <sheet name="114 Streets" sheetId="80" r:id="rId23"/>
    <sheet name="115 ARPA" sheetId="81" r:id="rId24"/>
    <sheet name="198 Hotel Motel" sheetId="82" r:id="rId25"/>
    <sheet name="214 SPL Debt" sheetId="83" r:id="rId26"/>
    <sheet name="215 LaBounty Bond" sheetId="84" r:id="rId27"/>
    <sheet name="216 LaBounty Bond " sheetId="85" r:id="rId28"/>
    <sheet name="217 LaBounty GO" sheetId="86" r:id="rId29"/>
    <sheet name="218 LTGO Bond" sheetId="87" r:id="rId30"/>
    <sheet name="219 LTGO" sheetId="88" r:id="rId31"/>
    <sheet name="220 Library LTGO" sheetId="89" r:id="rId32"/>
    <sheet name="301 REET" sheetId="90" r:id="rId33"/>
    <sheet name="302 REET" sheetId="91" r:id="rId34"/>
    <sheet name="310 MW Skate Park" sheetId="92" r:id="rId35"/>
    <sheet name="370 Thornton" sheetId="93" r:id="rId36"/>
    <sheet name="401 Water" sheetId="94" r:id="rId37"/>
    <sheet name="402 Sewer" sheetId="95" r:id="rId38"/>
    <sheet name="403 WS Bond" sheetId="96" r:id="rId39"/>
    <sheet name="404 Sewer Bond" sheetId="97" r:id="rId40"/>
    <sheet name="405 WWTP Debt" sheetId="98" r:id="rId41"/>
    <sheet name="407 Storm Flood Control" sheetId="121" r:id="rId42"/>
    <sheet name="408 Utility Loan" sheetId="120" r:id="rId43"/>
    <sheet name="409 CCWA Debt" sheetId="119" r:id="rId44"/>
    <sheet name="413 WTP Upgrade" sheetId="102" r:id="rId45"/>
    <sheet name="414 Shop Well" sheetId="118" r:id="rId46"/>
    <sheet name="415 WWTP" sheetId="117" r:id="rId47"/>
    <sheet name="510 Computer" sheetId="116" r:id="rId48"/>
    <sheet name="550 Equipment" sheetId="106" r:id="rId49"/>
    <sheet name="650 Court Agency" sheetId="107" r:id="rId50"/>
    <sheet name="651 Court Activity" sheetId="108" r:id="rId51"/>
    <sheet name="6.10.22" sheetId="1" state="hidden" r:id="rId52"/>
    <sheet name="10.05.22" sheetId="3" state="hidden" r:id="rId53"/>
    <sheet name="Exp" sheetId="16" state="hidden" r:id="rId54"/>
    <sheet name="Exp by fund" sheetId="17" state="hidden" r:id="rId55"/>
    <sheet name="Rev" sheetId="18" state="hidden" r:id="rId56"/>
    <sheet name="Rev by Fund" sheetId="19" state="hidden" r:id="rId57"/>
  </sheets>
  <definedNames>
    <definedName name="_xlnm.Print_Area" localSheetId="10">'001 GF Current Expense'!$A$1:$K$804</definedName>
    <definedName name="_xlnm.Print_Area" localSheetId="11">'002 GF Contingency Reserve'!$A$1:$J$25</definedName>
    <definedName name="_xlnm.Print_Area" localSheetId="12">'003 GF Facilities Reserve'!$A$1:$I$27</definedName>
    <definedName name="_xlnm.Print_Area" localSheetId="13">'004 GF Leoff '!$A$1:$I$29</definedName>
    <definedName name="_xlnm.Print_Area" localSheetId="14">'005 GF Solid Waste UT'!$A$1:$I$48</definedName>
    <definedName name="_xlnm.Print_Area" localSheetId="15">'007 GF PPC Rev'!$A$1:$I$35</definedName>
    <definedName name="_xlnm.Print_Area" localSheetId="52">'10.05.22'!$A$1:$G$2715</definedName>
    <definedName name="_xlnm.Print_Area" localSheetId="16">'101 Streets'!$A$1:$I$273</definedName>
    <definedName name="_xlnm.Print_Area" localSheetId="17">'102 Park Mitigation'!$A$1:$I$31</definedName>
    <definedName name="_xlnm.Print_Area" localSheetId="18">'104 Traffic Mitigation'!$A$1:$I$36</definedName>
    <definedName name="_xlnm.Print_Area" localSheetId="19">'106 Criminal Justice'!$A$1:$I$29</definedName>
    <definedName name="_xlnm.Print_Area" localSheetId="20">'107 Local Criminal Justice'!$A$1:$I$24</definedName>
    <definedName name="_xlnm.Print_Area" localSheetId="21">'113 TBD'!$A$1:$I$29</definedName>
    <definedName name="_xlnm.Print_Area" localSheetId="22">'114 Streets'!$A$1:$I$22</definedName>
    <definedName name="_xlnm.Print_Area" localSheetId="23">'115 ARPA'!$A$1:$I$28</definedName>
    <definedName name="_xlnm.Print_Area" localSheetId="24">'198 Hotel Motel'!$A$1:$I$37</definedName>
    <definedName name="_xlnm.Print_Area" localSheetId="25">'214 SPL Debt'!$A$1:$I$36</definedName>
    <definedName name="_xlnm.Print_Area" localSheetId="26">'215 LaBounty Bond'!$A$1:$I$45</definedName>
    <definedName name="_xlnm.Print_Area" localSheetId="27">'216 LaBounty Bond '!$A$1:$I$21</definedName>
    <definedName name="_xlnm.Print_Area" localSheetId="28">'217 LaBounty GO'!$A$1:$I$32</definedName>
    <definedName name="_xlnm.Print_Area" localSheetId="29">'218 LTGO Bond'!$A$1:$I$51</definedName>
    <definedName name="_xlnm.Print_Area" localSheetId="30">'219 LTGO'!$A$1:$I$34</definedName>
    <definedName name="_xlnm.Print_Area" localSheetId="31">'220 Library LTGO'!$A$1:$I$20</definedName>
    <definedName name="_xlnm.Print_Area" localSheetId="32">'301 REET'!$A$1:$I$24</definedName>
    <definedName name="_xlnm.Print_Area" localSheetId="33">'302 REET'!$A$1:$I$24</definedName>
    <definedName name="_xlnm.Print_Area" localSheetId="34">'310 MW Skate Park'!$A$1:$I$28</definedName>
    <definedName name="_xlnm.Print_Area" localSheetId="35">'370 Thornton'!$A$1:$I$50</definedName>
    <definedName name="_xlnm.Print_Area" localSheetId="36">'401 Water'!$A$1:$I$255</definedName>
    <definedName name="_xlnm.Print_Area" localSheetId="37">'402 Sewer'!$A$1:$I$217</definedName>
    <definedName name="_xlnm.Print_Area" localSheetId="38">'403 WS Bond'!$A$1:$I$58</definedName>
    <definedName name="_xlnm.Print_Area" localSheetId="39">'404 Sewer Bond'!$A$1:$I$27</definedName>
    <definedName name="_xlnm.Print_Area" localSheetId="40">'405 WWTP Debt'!$A$1:$I$29</definedName>
    <definedName name="_xlnm.Print_Area" localSheetId="41">'407 Storm Flood Control'!$A$1:$I$188</definedName>
    <definedName name="_xlnm.Print_Area" localSheetId="42">'408 Utility Loan'!$A$1:$I$47</definedName>
    <definedName name="_xlnm.Print_Area" localSheetId="43">'409 CCWA Debt'!$A$1:$I$21</definedName>
    <definedName name="_xlnm.Print_Area" localSheetId="44">'413 WTP Upgrade'!$A$1:$I$20</definedName>
    <definedName name="_xlnm.Print_Area" localSheetId="45">'414 Shop Well'!$A$1:$I$19</definedName>
    <definedName name="_xlnm.Print_Area" localSheetId="46">'415 WWTP'!$A$1:$I$24</definedName>
    <definedName name="_xlnm.Print_Area" localSheetId="47">'510 Computer'!$A$1:$I$50</definedName>
    <definedName name="_xlnm.Print_Area" localSheetId="48">'550 Equipment'!$A$1:$I$128</definedName>
    <definedName name="_xlnm.Print_Area" localSheetId="49">'650 Court Agency'!$A$1:$I$40</definedName>
    <definedName name="_xlnm.Print_Area" localSheetId="50">'651 Court Activity'!$A$1:$I$16</definedName>
    <definedName name="_xlnm.Print_Area" localSheetId="53">Exp!$A$1:$I$1366</definedName>
    <definedName name="_xlnm.Print_Area" localSheetId="9">'Fund Balance Report'!$B$1:$AC$48</definedName>
    <definedName name="_xlnm.Print_Area" localSheetId="7">'Mayor''s Message'!$A$1:$AV$122</definedName>
    <definedName name="_xlnm.Print_Area" localSheetId="55">Rev!$A$1:$I$1050</definedName>
    <definedName name="_xlnm.Print_Titles" localSheetId="10">'001 GF Current Expense'!$5:$5</definedName>
    <definedName name="_xlnm.Print_Titles" localSheetId="11">'002 GF Contingency Reserve'!$5:$5</definedName>
    <definedName name="_xlnm.Print_Titles" localSheetId="16">'101 Streets'!$5:$5</definedName>
    <definedName name="_xlnm.Print_Titles" localSheetId="36">'401 Water'!$5:$5</definedName>
    <definedName name="_xlnm.Print_Titles" localSheetId="37">'402 Sewer'!$5:$5</definedName>
    <definedName name="_xlnm.Print_Titles" localSheetId="41">'407 Storm Flood Control'!$5:$5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7" i="121" l="1"/>
  <c r="H38" i="121"/>
  <c r="H39" i="121"/>
  <c r="H40" i="121"/>
  <c r="H41" i="121"/>
  <c r="H42" i="121"/>
  <c r="H36" i="121"/>
  <c r="H32" i="121"/>
  <c r="H31" i="121"/>
  <c r="H35" i="94"/>
  <c r="H38" i="94"/>
  <c r="H25" i="95"/>
  <c r="H24" i="95"/>
  <c r="H18" i="95"/>
  <c r="H19" i="95"/>
  <c r="H17" i="95"/>
  <c r="H33" i="94"/>
  <c r="H34" i="94"/>
  <c r="H36" i="94"/>
  <c r="H37" i="94"/>
  <c r="H39" i="94"/>
  <c r="H40" i="94"/>
  <c r="H41" i="94"/>
  <c r="H42" i="94"/>
  <c r="H43" i="94"/>
  <c r="H32" i="94"/>
  <c r="H25" i="94"/>
  <c r="H803" i="21"/>
  <c r="H802" i="21"/>
  <c r="G802" i="21"/>
  <c r="G803" i="21"/>
  <c r="G800" i="21"/>
  <c r="H775" i="21"/>
  <c r="H776" i="21"/>
  <c r="H774" i="21"/>
  <c r="G777" i="21"/>
  <c r="H741" i="21"/>
  <c r="H742" i="21"/>
  <c r="H743" i="21"/>
  <c r="H744" i="21"/>
  <c r="H745" i="21"/>
  <c r="H746" i="21"/>
  <c r="H747" i="21"/>
  <c r="H748" i="21"/>
  <c r="H749" i="21"/>
  <c r="H750" i="21"/>
  <c r="H751" i="21"/>
  <c r="H752" i="21"/>
  <c r="H753" i="21"/>
  <c r="H754" i="21"/>
  <c r="H755" i="21"/>
  <c r="H756" i="21"/>
  <c r="H757" i="21"/>
  <c r="H758" i="21"/>
  <c r="H759" i="21"/>
  <c r="H760" i="21"/>
  <c r="H761" i="21"/>
  <c r="H762" i="21"/>
  <c r="H763" i="21"/>
  <c r="H764" i="21"/>
  <c r="H765" i="21"/>
  <c r="H766" i="21"/>
  <c r="H767" i="21"/>
  <c r="H768" i="21"/>
  <c r="H769" i="21"/>
  <c r="H770" i="21"/>
  <c r="H740" i="21"/>
  <c r="G771" i="21"/>
  <c r="H736" i="21"/>
  <c r="G737" i="21"/>
  <c r="H724" i="21"/>
  <c r="H725" i="21"/>
  <c r="H726" i="21"/>
  <c r="H727" i="21"/>
  <c r="H728" i="21"/>
  <c r="H729" i="21"/>
  <c r="H723" i="21"/>
  <c r="G733" i="21"/>
  <c r="G731" i="21"/>
  <c r="H681" i="21"/>
  <c r="H682" i="21"/>
  <c r="H683" i="21"/>
  <c r="H684" i="21"/>
  <c r="H685" i="21"/>
  <c r="H686" i="21"/>
  <c r="H687" i="21"/>
  <c r="H688" i="21"/>
  <c r="H689" i="21"/>
  <c r="H690" i="21"/>
  <c r="H691" i="21"/>
  <c r="H692" i="21"/>
  <c r="H693" i="21"/>
  <c r="H694" i="21"/>
  <c r="H695" i="21"/>
  <c r="H696" i="21"/>
  <c r="H697" i="21"/>
  <c r="H698" i="21"/>
  <c r="H699" i="21"/>
  <c r="H700" i="21"/>
  <c r="H701" i="21"/>
  <c r="H702" i="21"/>
  <c r="H703" i="21"/>
  <c r="H704" i="21"/>
  <c r="H705" i="21"/>
  <c r="H706" i="21"/>
  <c r="H707" i="21"/>
  <c r="H708" i="21"/>
  <c r="H709" i="21"/>
  <c r="H710" i="21"/>
  <c r="H711" i="21"/>
  <c r="H712" i="21"/>
  <c r="H713" i="21"/>
  <c r="H714" i="21"/>
  <c r="H715" i="21"/>
  <c r="H716" i="21"/>
  <c r="H717" i="21"/>
  <c r="H718" i="21"/>
  <c r="H719" i="21"/>
  <c r="H680" i="21"/>
  <c r="G720" i="21"/>
  <c r="G677" i="21"/>
  <c r="G673" i="21"/>
  <c r="H657" i="21"/>
  <c r="H658" i="21"/>
  <c r="H659" i="21"/>
  <c r="H660" i="21"/>
  <c r="H661" i="21"/>
  <c r="H662" i="21"/>
  <c r="H663" i="21"/>
  <c r="H664" i="21"/>
  <c r="H665" i="21"/>
  <c r="H666" i="21"/>
  <c r="H667" i="21"/>
  <c r="H668" i="21"/>
  <c r="H656" i="21"/>
  <c r="G669" i="21"/>
  <c r="H627" i="21"/>
  <c r="H628" i="21"/>
  <c r="H629" i="21"/>
  <c r="H630" i="21"/>
  <c r="H631" i="21"/>
  <c r="H632" i="21"/>
  <c r="H633" i="21"/>
  <c r="H634" i="21"/>
  <c r="H635" i="21"/>
  <c r="H636" i="21"/>
  <c r="H637" i="21"/>
  <c r="H638" i="21"/>
  <c r="H639" i="21"/>
  <c r="H640" i="21"/>
  <c r="H641" i="21"/>
  <c r="H642" i="21"/>
  <c r="H643" i="21"/>
  <c r="H644" i="21"/>
  <c r="H645" i="21"/>
  <c r="H646" i="21"/>
  <c r="H647" i="21"/>
  <c r="H648" i="21"/>
  <c r="H649" i="21"/>
  <c r="H650" i="21"/>
  <c r="H651" i="21"/>
  <c r="H652" i="21"/>
  <c r="H626" i="21"/>
  <c r="G653" i="21"/>
  <c r="H622" i="21"/>
  <c r="H621" i="21"/>
  <c r="G623" i="21"/>
  <c r="H597" i="21"/>
  <c r="H598" i="21"/>
  <c r="H599" i="21"/>
  <c r="H600" i="21"/>
  <c r="H601" i="21"/>
  <c r="H602" i="21"/>
  <c r="H603" i="21"/>
  <c r="H604" i="21"/>
  <c r="H605" i="21"/>
  <c r="H606" i="21"/>
  <c r="H607" i="21"/>
  <c r="H608" i="21"/>
  <c r="H609" i="21"/>
  <c r="H610" i="21"/>
  <c r="H611" i="21"/>
  <c r="H612" i="21"/>
  <c r="H613" i="21"/>
  <c r="H614" i="21"/>
  <c r="H615" i="21"/>
  <c r="H616" i="21"/>
  <c r="H617" i="21"/>
  <c r="H596" i="21"/>
  <c r="H593" i="21"/>
  <c r="H569" i="21"/>
  <c r="H576" i="21"/>
  <c r="H577" i="21"/>
  <c r="H578" i="21"/>
  <c r="H579" i="21"/>
  <c r="H580" i="21"/>
  <c r="H581" i="21"/>
  <c r="H582" i="21"/>
  <c r="H583" i="21"/>
  <c r="H584" i="21"/>
  <c r="H585" i="21"/>
  <c r="H586" i="21"/>
  <c r="H587" i="21"/>
  <c r="H590" i="21"/>
  <c r="H575" i="21"/>
  <c r="G618" i="21"/>
  <c r="G593" i="21"/>
  <c r="G591" i="21"/>
  <c r="E593" i="21"/>
  <c r="G572" i="21"/>
  <c r="H517" i="21"/>
  <c r="H518" i="21"/>
  <c r="H519" i="21"/>
  <c r="H520" i="21"/>
  <c r="H521" i="21"/>
  <c r="H522" i="21"/>
  <c r="H523" i="21"/>
  <c r="H524" i="21"/>
  <c r="H525" i="21"/>
  <c r="H526" i="21"/>
  <c r="H527" i="21"/>
  <c r="H528" i="21"/>
  <c r="H529" i="21"/>
  <c r="H530" i="21"/>
  <c r="H531" i="21"/>
  <c r="H532" i="21"/>
  <c r="H533" i="21"/>
  <c r="H534" i="21"/>
  <c r="H535" i="21"/>
  <c r="H536" i="21"/>
  <c r="H537" i="21"/>
  <c r="H538" i="21"/>
  <c r="H539" i="21"/>
  <c r="H540" i="21"/>
  <c r="H541" i="21"/>
  <c r="H542" i="21"/>
  <c r="H543" i="21"/>
  <c r="H544" i="21"/>
  <c r="H545" i="21"/>
  <c r="H546" i="21"/>
  <c r="H547" i="21"/>
  <c r="H548" i="21"/>
  <c r="H549" i="21"/>
  <c r="H550" i="21"/>
  <c r="H551" i="21"/>
  <c r="H552" i="21"/>
  <c r="H553" i="21"/>
  <c r="H554" i="21"/>
  <c r="H555" i="21"/>
  <c r="H556" i="21"/>
  <c r="H557" i="21"/>
  <c r="H558" i="21"/>
  <c r="H559" i="21"/>
  <c r="H560" i="21"/>
  <c r="H561" i="21"/>
  <c r="H562" i="21"/>
  <c r="H563" i="21"/>
  <c r="H564" i="21"/>
  <c r="H565" i="21"/>
  <c r="H566" i="21"/>
  <c r="H567" i="21"/>
  <c r="H568" i="21"/>
  <c r="H516" i="21"/>
  <c r="G570" i="21"/>
  <c r="H502" i="21"/>
  <c r="H503" i="21"/>
  <c r="H504" i="21"/>
  <c r="H505" i="21"/>
  <c r="H506" i="21"/>
  <c r="H507" i="21"/>
  <c r="H508" i="21"/>
  <c r="H509" i="21"/>
  <c r="H510" i="21"/>
  <c r="H511" i="21"/>
  <c r="H512" i="21"/>
  <c r="H501" i="21"/>
  <c r="G513" i="21"/>
  <c r="H491" i="21"/>
  <c r="H492" i="21"/>
  <c r="H493" i="21"/>
  <c r="H494" i="21"/>
  <c r="H495" i="21"/>
  <c r="H496" i="21"/>
  <c r="H497" i="21"/>
  <c r="H490" i="21"/>
  <c r="G49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H452" i="21"/>
  <c r="H453" i="21"/>
  <c r="H454" i="21"/>
  <c r="H455" i="21"/>
  <c r="H456" i="21"/>
  <c r="H457" i="21"/>
  <c r="H458" i="21"/>
  <c r="H459" i="21"/>
  <c r="H460" i="21"/>
  <c r="H461" i="21"/>
  <c r="H462" i="21"/>
  <c r="H463" i="21"/>
  <c r="H464" i="21"/>
  <c r="H465" i="21"/>
  <c r="H466" i="21"/>
  <c r="H467" i="21"/>
  <c r="H468" i="21"/>
  <c r="H469" i="21"/>
  <c r="H470" i="21"/>
  <c r="H471" i="21"/>
  <c r="H472" i="21"/>
  <c r="H473" i="21"/>
  <c r="H474" i="21"/>
  <c r="H475" i="21"/>
  <c r="H476" i="21"/>
  <c r="H477" i="21"/>
  <c r="H478" i="21"/>
  <c r="H479" i="21"/>
  <c r="H480" i="21"/>
  <c r="H481" i="21"/>
  <c r="H482" i="21"/>
  <c r="H483" i="21"/>
  <c r="H484" i="21"/>
  <c r="H485" i="21"/>
  <c r="H486" i="21"/>
  <c r="H438" i="21"/>
  <c r="G487" i="21"/>
  <c r="H432" i="21"/>
  <c r="H433" i="21"/>
  <c r="H434" i="21"/>
  <c r="H431" i="21"/>
  <c r="G435" i="21"/>
  <c r="H413" i="21"/>
  <c r="H414" i="21"/>
  <c r="H415" i="21"/>
  <c r="H416" i="21"/>
  <c r="H417" i="21"/>
  <c r="H418" i="21"/>
  <c r="H419" i="21"/>
  <c r="H420" i="21"/>
  <c r="H421" i="21"/>
  <c r="H422" i="21"/>
  <c r="H423" i="21"/>
  <c r="H424" i="21"/>
  <c r="H425" i="21"/>
  <c r="H426" i="21"/>
  <c r="H427" i="21"/>
  <c r="H412" i="21"/>
  <c r="G428" i="21"/>
  <c r="H390" i="21"/>
  <c r="H391" i="21"/>
  <c r="H392" i="21"/>
  <c r="H393" i="21"/>
  <c r="H394" i="21"/>
  <c r="H395" i="21"/>
  <c r="H396" i="21"/>
  <c r="H397" i="21"/>
  <c r="H398" i="21"/>
  <c r="H399" i="21"/>
  <c r="H400" i="21"/>
  <c r="H401" i="21"/>
  <c r="H402" i="21"/>
  <c r="H403" i="21"/>
  <c r="H404" i="21"/>
  <c r="H405" i="21"/>
  <c r="H406" i="21"/>
  <c r="H407" i="21"/>
  <c r="H408" i="21"/>
  <c r="H389" i="21"/>
  <c r="G409" i="21"/>
  <c r="H374" i="21"/>
  <c r="H375" i="21"/>
  <c r="H376" i="21"/>
  <c r="H377" i="21"/>
  <c r="H378" i="21"/>
  <c r="H379" i="21"/>
  <c r="H380" i="21"/>
  <c r="H381" i="21"/>
  <c r="H382" i="21"/>
  <c r="H383" i="21"/>
  <c r="H384" i="21"/>
  <c r="H385" i="21"/>
  <c r="H373" i="21"/>
  <c r="G386" i="21"/>
  <c r="H369" i="21"/>
  <c r="H353" i="21"/>
  <c r="H354" i="21"/>
  <c r="H355" i="21"/>
  <c r="H356" i="21"/>
  <c r="H357" i="21"/>
  <c r="H358" i="21"/>
  <c r="H359" i="21"/>
  <c r="H360" i="21"/>
  <c r="H361" i="21"/>
  <c r="H362" i="21"/>
  <c r="H363" i="21"/>
  <c r="H364" i="21"/>
  <c r="H365" i="21"/>
  <c r="H366" i="21"/>
  <c r="H367" i="21"/>
  <c r="H368" i="21"/>
  <c r="H352" i="21"/>
  <c r="H350" i="21"/>
  <c r="G370" i="21"/>
  <c r="H321" i="21"/>
  <c r="H322" i="21"/>
  <c r="H323" i="21"/>
  <c r="H324" i="21"/>
  <c r="H325" i="21"/>
  <c r="H326" i="21"/>
  <c r="H327" i="21"/>
  <c r="H328" i="21"/>
  <c r="H329" i="21"/>
  <c r="H330" i="21"/>
  <c r="H331" i="21"/>
  <c r="H332" i="21"/>
  <c r="H333" i="21"/>
  <c r="H334" i="21"/>
  <c r="H335" i="21"/>
  <c r="H336" i="21"/>
  <c r="H337" i="21"/>
  <c r="H338" i="21"/>
  <c r="H339" i="21"/>
  <c r="H340" i="21"/>
  <c r="H341" i="21"/>
  <c r="H342" i="21"/>
  <c r="H343" i="21"/>
  <c r="H344" i="21"/>
  <c r="H345" i="21"/>
  <c r="H320" i="21"/>
  <c r="G346" i="21"/>
  <c r="H309" i="21"/>
  <c r="H310" i="21"/>
  <c r="H311" i="21"/>
  <c r="H312" i="21"/>
  <c r="H313" i="21"/>
  <c r="H314" i="21"/>
  <c r="H315" i="21"/>
  <c r="H316" i="21"/>
  <c r="H308" i="21"/>
  <c r="G317" i="21"/>
  <c r="H303" i="21"/>
  <c r="H304" i="21"/>
  <c r="H302" i="21"/>
  <c r="G305" i="21"/>
  <c r="H299" i="21"/>
  <c r="H298" i="21"/>
  <c r="G300" i="21"/>
  <c r="G295" i="21"/>
  <c r="H226" i="21"/>
  <c r="H227" i="21"/>
  <c r="H228" i="21"/>
  <c r="H229" i="21"/>
  <c r="H230" i="21"/>
  <c r="H231" i="21"/>
  <c r="H232" i="21"/>
  <c r="H233" i="21"/>
  <c r="H234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56" i="21"/>
  <c r="H257" i="21"/>
  <c r="H258" i="21"/>
  <c r="H259" i="21"/>
  <c r="H260" i="21"/>
  <c r="H261" i="21"/>
  <c r="H262" i="21"/>
  <c r="H263" i="21"/>
  <c r="H264" i="21"/>
  <c r="H265" i="21"/>
  <c r="H266" i="21"/>
  <c r="H267" i="21"/>
  <c r="H268" i="21"/>
  <c r="H269" i="21"/>
  <c r="H270" i="21"/>
  <c r="H271" i="21"/>
  <c r="H272" i="21"/>
  <c r="H273" i="21"/>
  <c r="H274" i="21"/>
  <c r="H275" i="21"/>
  <c r="H276" i="21"/>
  <c r="H277" i="21"/>
  <c r="H278" i="21"/>
  <c r="H279" i="21"/>
  <c r="H280" i="21"/>
  <c r="H281" i="21"/>
  <c r="H225" i="21"/>
  <c r="G282" i="21"/>
  <c r="H182" i="21"/>
  <c r="H183" i="21"/>
  <c r="H184" i="21"/>
  <c r="H185" i="21"/>
  <c r="H186" i="21"/>
  <c r="H187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200" i="21"/>
  <c r="H201" i="21"/>
  <c r="H202" i="21"/>
  <c r="H203" i="21"/>
  <c r="H204" i="21"/>
  <c r="H205" i="21"/>
  <c r="H20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181" i="21"/>
  <c r="G222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H127" i="21"/>
  <c r="H128" i="21"/>
  <c r="H129" i="21"/>
  <c r="H130" i="21"/>
  <c r="H131" i="21"/>
  <c r="H132" i="21"/>
  <c r="H133" i="21"/>
  <c r="H134" i="21"/>
  <c r="H135" i="21"/>
  <c r="H136" i="21"/>
  <c r="H137" i="21"/>
  <c r="H138" i="21"/>
  <c r="H139" i="21"/>
  <c r="H140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H158" i="21"/>
  <c r="H159" i="21"/>
  <c r="H160" i="21"/>
  <c r="H161" i="21"/>
  <c r="H162" i="21"/>
  <c r="H163" i="21"/>
  <c r="H164" i="21"/>
  <c r="H165" i="21"/>
  <c r="H166" i="21"/>
  <c r="H167" i="21"/>
  <c r="H168" i="21"/>
  <c r="H169" i="21"/>
  <c r="H170" i="21"/>
  <c r="H171" i="21"/>
  <c r="H172" i="21"/>
  <c r="H173" i="21"/>
  <c r="H174" i="21"/>
  <c r="H175" i="21"/>
  <c r="H176" i="21"/>
  <c r="H177" i="21"/>
  <c r="H110" i="21"/>
  <c r="G178" i="21"/>
  <c r="G107" i="21"/>
  <c r="H104" i="21"/>
  <c r="G105" i="21"/>
  <c r="J100" i="21"/>
  <c r="H99" i="21"/>
  <c r="G100" i="21"/>
  <c r="F100" i="21"/>
  <c r="H93" i="21"/>
  <c r="H94" i="21"/>
  <c r="H95" i="21"/>
  <c r="H96" i="21"/>
  <c r="H92" i="21"/>
  <c r="G97" i="21"/>
  <c r="H90" i="21"/>
  <c r="H87" i="21"/>
  <c r="G88" i="21"/>
  <c r="H86" i="21"/>
  <c r="H85" i="21"/>
  <c r="H74" i="21"/>
  <c r="H75" i="21"/>
  <c r="H76" i="21"/>
  <c r="H77" i="21"/>
  <c r="H78" i="21"/>
  <c r="H79" i="21"/>
  <c r="H80" i="21"/>
  <c r="H81" i="21"/>
  <c r="H82" i="21"/>
  <c r="H83" i="21"/>
  <c r="H84" i="21"/>
  <c r="H73" i="21"/>
  <c r="H64" i="21"/>
  <c r="H65" i="21"/>
  <c r="H66" i="21"/>
  <c r="H67" i="21"/>
  <c r="H68" i="21"/>
  <c r="H69" i="21"/>
  <c r="H63" i="21"/>
  <c r="G70" i="21"/>
  <c r="H61" i="21"/>
  <c r="H58" i="21"/>
  <c r="H57" i="21"/>
  <c r="G59" i="21"/>
  <c r="G53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30" i="21"/>
  <c r="G51" i="21"/>
  <c r="H18" i="21"/>
  <c r="H25" i="21"/>
  <c r="H26" i="21"/>
  <c r="H24" i="21"/>
  <c r="G27" i="21"/>
  <c r="H10" i="21"/>
  <c r="H11" i="21"/>
  <c r="H12" i="21"/>
  <c r="H13" i="21"/>
  <c r="H14" i="21"/>
  <c r="H15" i="21"/>
  <c r="H16" i="21"/>
  <c r="H17" i="21"/>
  <c r="H19" i="21"/>
  <c r="G20" i="21"/>
  <c r="J285" i="21"/>
  <c r="O30" i="128"/>
  <c r="O43" i="128"/>
  <c r="O56" i="128"/>
  <c r="O102" i="128"/>
  <c r="O114" i="128"/>
  <c r="P110" i="128"/>
  <c r="J12" i="128"/>
  <c r="O26" i="128"/>
  <c r="P26" i="128"/>
  <c r="F32" i="84"/>
  <c r="J352" i="21"/>
  <c r="J10" i="21"/>
  <c r="J472" i="21"/>
  <c r="J598" i="21"/>
  <c r="H13" i="102"/>
  <c r="F13" i="102"/>
  <c r="G13" i="102"/>
  <c r="H20" i="91"/>
  <c r="H12" i="102"/>
  <c r="F55" i="106"/>
  <c r="J742" i="21"/>
  <c r="H92" i="121"/>
  <c r="H104" i="95"/>
  <c r="H99" i="95"/>
  <c r="H133" i="94"/>
  <c r="H131" i="94"/>
  <c r="H130" i="94"/>
  <c r="H129" i="94"/>
  <c r="H228" i="74"/>
  <c r="H224" i="74"/>
  <c r="H213" i="74" l="1"/>
  <c r="H212" i="74"/>
  <c r="H211" i="74"/>
  <c r="H210" i="74"/>
  <c r="H209" i="74"/>
  <c r="H184" i="74"/>
  <c r="H176" i="74"/>
  <c r="H154" i="74"/>
  <c r="H153" i="74"/>
  <c r="H152" i="74"/>
  <c r="H151" i="74"/>
  <c r="H150" i="74"/>
  <c r="H149" i="74"/>
  <c r="J751" i="21"/>
  <c r="J749" i="21"/>
  <c r="J748" i="21"/>
  <c r="J747" i="21"/>
  <c r="J746" i="21"/>
  <c r="J741" i="21"/>
  <c r="J692" i="21" l="1"/>
  <c r="J685" i="21"/>
  <c r="J630" i="21"/>
  <c r="J629" i="21"/>
  <c r="J626" i="21"/>
  <c r="AP27" i="131" l="1"/>
  <c r="AQ69" i="131"/>
  <c r="AQ64" i="131"/>
  <c r="AQ68" i="131"/>
  <c r="AQ67" i="131"/>
  <c r="AQ63" i="131"/>
  <c r="AQ66" i="131"/>
  <c r="J394" i="21"/>
  <c r="J393" i="21"/>
  <c r="J391" i="21"/>
  <c r="J390" i="21"/>
  <c r="J389" i="21"/>
  <c r="AP34" i="131" l="1"/>
  <c r="AP29" i="131"/>
  <c r="H27" i="79"/>
  <c r="G28" i="79"/>
  <c r="F28" i="79"/>
  <c r="H80" i="74"/>
  <c r="BF26" i="131" l="1"/>
  <c r="BL26" i="131"/>
  <c r="BL36" i="131" s="1"/>
  <c r="BL37" i="131" s="1"/>
  <c r="BX26" i="131"/>
  <c r="BY26" i="131"/>
  <c r="BZ26" i="131"/>
  <c r="CA26" i="131"/>
  <c r="CE26" i="131"/>
  <c r="CJ26" i="131"/>
  <c r="CK26" i="131"/>
  <c r="BH27" i="131"/>
  <c r="CL27" i="131"/>
  <c r="BD28" i="131"/>
  <c r="BU28" i="131"/>
  <c r="BV28" i="131"/>
  <c r="BW28" i="131"/>
  <c r="BF29" i="131"/>
  <c r="CM29" i="131"/>
  <c r="BN28" i="131"/>
  <c r="BE30" i="131"/>
  <c r="BG30" i="131"/>
  <c r="BH30" i="131"/>
  <c r="CE30" i="131"/>
  <c r="BY31" i="131"/>
  <c r="BZ31" i="131"/>
  <c r="CA31" i="131"/>
  <c r="CB31" i="131"/>
  <c r="CE31" i="131"/>
  <c r="CH31" i="131"/>
  <c r="CI31" i="131"/>
  <c r="CJ31" i="131"/>
  <c r="BA32" i="131"/>
  <c r="BB32" i="131"/>
  <c r="BC32" i="131"/>
  <c r="BD32" i="131"/>
  <c r="BE32" i="131"/>
  <c r="BF32" i="131"/>
  <c r="BG32" i="131"/>
  <c r="BH32" i="131"/>
  <c r="BI32" i="131"/>
  <c r="BJ32" i="131"/>
  <c r="BN32" i="131"/>
  <c r="BO32" i="131"/>
  <c r="BP32" i="131"/>
  <c r="BQ32" i="131"/>
  <c r="BQ36" i="131" s="1"/>
  <c r="BQ37" i="131" s="1"/>
  <c r="BR32" i="131"/>
  <c r="BS32" i="131"/>
  <c r="BT32" i="131"/>
  <c r="BU32" i="131"/>
  <c r="BV32" i="131"/>
  <c r="BW32" i="131"/>
  <c r="BY32" i="131"/>
  <c r="BZ32" i="131"/>
  <c r="CA32" i="131"/>
  <c r="CB32" i="131"/>
  <c r="CC32" i="131"/>
  <c r="CC36" i="131" s="1"/>
  <c r="CC37" i="131" s="1"/>
  <c r="CD32" i="131"/>
  <c r="CE32" i="131"/>
  <c r="CG32" i="131"/>
  <c r="CK32" i="131"/>
  <c r="CM32" i="131"/>
  <c r="CN32" i="131"/>
  <c r="CN36" i="131" s="1"/>
  <c r="CN37" i="131" s="1"/>
  <c r="CA33" i="131"/>
  <c r="BO44" i="131"/>
  <c r="BP44" i="131"/>
  <c r="BR44" i="131"/>
  <c r="BR60" i="131" s="1"/>
  <c r="BR61" i="131" s="1"/>
  <c r="BS44" i="131"/>
  <c r="BS60" i="131" s="1"/>
  <c r="BS61" i="131" s="1"/>
  <c r="BT44" i="131"/>
  <c r="BT60" i="131" s="1"/>
  <c r="BT61" i="131" s="1"/>
  <c r="BU44" i="131"/>
  <c r="BU60" i="131" s="1"/>
  <c r="BU61" i="131" s="1"/>
  <c r="BY44" i="131"/>
  <c r="CB44" i="131"/>
  <c r="CB60" i="131" s="1"/>
  <c r="CB61" i="131" s="1"/>
  <c r="CD44" i="131"/>
  <c r="CD60" i="131" s="1"/>
  <c r="CD61" i="131" s="1"/>
  <c r="CE44" i="131"/>
  <c r="CG44" i="131"/>
  <c r="CG60" i="131" s="1"/>
  <c r="CG61" i="131" s="1"/>
  <c r="CJ44" i="131"/>
  <c r="CM49" i="131"/>
  <c r="CM60" i="131" s="1"/>
  <c r="CM61" i="131" s="1"/>
  <c r="CN49" i="131"/>
  <c r="CN60" i="131" s="1"/>
  <c r="CN61" i="131" s="1"/>
  <c r="CK50" i="131"/>
  <c r="BN51" i="131"/>
  <c r="BX51" i="131"/>
  <c r="BX60" i="131" s="1"/>
  <c r="BX61" i="131" s="1"/>
  <c r="BC53" i="131"/>
  <c r="BC60" i="131" s="1"/>
  <c r="BC61" i="131" s="1"/>
  <c r="BF55" i="131"/>
  <c r="BY55" i="131"/>
  <c r="CA55" i="131"/>
  <c r="CE55" i="131"/>
  <c r="CH55" i="131"/>
  <c r="CH60" i="131" s="1"/>
  <c r="CJ55" i="131"/>
  <c r="CK55" i="131"/>
  <c r="BL60" i="131"/>
  <c r="BL61" i="131" s="1"/>
  <c r="J731" i="21"/>
  <c r="I731" i="21"/>
  <c r="F133" i="74"/>
  <c r="G133" i="74"/>
  <c r="H133" i="74"/>
  <c r="J599" i="21"/>
  <c r="J597" i="21"/>
  <c r="J518" i="21"/>
  <c r="AW30" i="131" l="1"/>
  <c r="BO60" i="131"/>
  <c r="BO61" i="131" s="1"/>
  <c r="BN36" i="131"/>
  <c r="BN37" i="131" s="1"/>
  <c r="CK60" i="131"/>
  <c r="CK61" i="131" s="1"/>
  <c r="CM36" i="131"/>
  <c r="CM37" i="131" s="1"/>
  <c r="BG36" i="131"/>
  <c r="BG37" i="131" s="1"/>
  <c r="BH36" i="131"/>
  <c r="BH37" i="131" s="1"/>
  <c r="CJ60" i="131"/>
  <c r="CJ61" i="131" s="1"/>
  <c r="BW36" i="131"/>
  <c r="AW31" i="131"/>
  <c r="BV36" i="131"/>
  <c r="BV37" i="131" s="1"/>
  <c r="H27" i="98"/>
  <c r="H34" i="33" l="1"/>
  <c r="BE51" i="131" s="1"/>
  <c r="BE60" i="131" s="1"/>
  <c r="BE61" i="131" s="1"/>
  <c r="G47" i="31"/>
  <c r="J83" i="21"/>
  <c r="E25" i="93" l="1"/>
  <c r="E29" i="93" s="1"/>
  <c r="E49" i="93" s="1"/>
  <c r="E42" i="93"/>
  <c r="E48" i="93" s="1"/>
  <c r="D49" i="93"/>
  <c r="H11" i="79"/>
  <c r="O110" i="128"/>
  <c r="P108" i="128"/>
  <c r="P109" i="128"/>
  <c r="M113" i="128"/>
  <c r="L113" i="128"/>
  <c r="K113" i="128"/>
  <c r="J113" i="128"/>
  <c r="I113" i="128"/>
  <c r="H113" i="128"/>
  <c r="G113" i="128"/>
  <c r="F113" i="128"/>
  <c r="E113" i="128"/>
  <c r="D113" i="128"/>
  <c r="O112" i="128"/>
  <c r="N112" i="128"/>
  <c r="M112" i="128"/>
  <c r="L112" i="128"/>
  <c r="K112" i="128"/>
  <c r="J112" i="128"/>
  <c r="I112" i="128"/>
  <c r="H112" i="128"/>
  <c r="G112" i="128"/>
  <c r="F112" i="128"/>
  <c r="E112" i="128"/>
  <c r="D112" i="128"/>
  <c r="O113" i="128"/>
  <c r="N113" i="128"/>
  <c r="P112" i="128"/>
  <c r="H11" i="78"/>
  <c r="P100" i="128"/>
  <c r="O98" i="128"/>
  <c r="P98" i="128"/>
  <c r="M101" i="128"/>
  <c r="L101" i="128"/>
  <c r="K101" i="128"/>
  <c r="J101" i="128"/>
  <c r="I101" i="128"/>
  <c r="H101" i="128"/>
  <c r="G101" i="128"/>
  <c r="F101" i="128"/>
  <c r="E101" i="128"/>
  <c r="D101" i="128"/>
  <c r="O100" i="128"/>
  <c r="N100" i="128"/>
  <c r="M100" i="128"/>
  <c r="L100" i="128"/>
  <c r="K100" i="128"/>
  <c r="J100" i="128"/>
  <c r="I100" i="128"/>
  <c r="H100" i="128"/>
  <c r="G100" i="128"/>
  <c r="F100" i="128"/>
  <c r="E100" i="128"/>
  <c r="D100" i="128"/>
  <c r="O101" i="128"/>
  <c r="N101" i="128"/>
  <c r="P97" i="128"/>
  <c r="P96" i="128"/>
  <c r="F21" i="27"/>
  <c r="F19" i="27"/>
  <c r="F15" i="27"/>
  <c r="F13" i="27"/>
  <c r="F300" i="21"/>
  <c r="F295" i="21"/>
  <c r="F282" i="21"/>
  <c r="F222" i="21"/>
  <c r="J119" i="21"/>
  <c r="F178" i="21"/>
  <c r="F105" i="21"/>
  <c r="F107" i="21" s="1"/>
  <c r="F97" i="21"/>
  <c r="F88" i="21"/>
  <c r="F70" i="21"/>
  <c r="F59" i="21"/>
  <c r="F51" i="21"/>
  <c r="F27" i="21"/>
  <c r="F20" i="21"/>
  <c r="P24" i="128"/>
  <c r="P25" i="128"/>
  <c r="D28" i="128"/>
  <c r="E28" i="128"/>
  <c r="F28" i="128"/>
  <c r="G28" i="128"/>
  <c r="H28" i="128"/>
  <c r="I28" i="128"/>
  <c r="J28" i="128"/>
  <c r="K28" i="128"/>
  <c r="L28" i="128"/>
  <c r="M28" i="128"/>
  <c r="N28" i="128"/>
  <c r="O28" i="128"/>
  <c r="P28" i="128"/>
  <c r="D29" i="128"/>
  <c r="E29" i="128"/>
  <c r="F29" i="128"/>
  <c r="G29" i="128"/>
  <c r="H29" i="128"/>
  <c r="I29" i="128"/>
  <c r="J29" i="128"/>
  <c r="K29" i="128"/>
  <c r="L29" i="128"/>
  <c r="M29" i="128"/>
  <c r="N29" i="128"/>
  <c r="P37" i="128"/>
  <c r="P38" i="128"/>
  <c r="P39" i="128"/>
  <c r="O39" i="128"/>
  <c r="D41" i="128"/>
  <c r="E41" i="128"/>
  <c r="F41" i="128"/>
  <c r="G41" i="128"/>
  <c r="H41" i="128"/>
  <c r="I41" i="128"/>
  <c r="J41" i="128"/>
  <c r="K41" i="128"/>
  <c r="L41" i="128"/>
  <c r="M41" i="128"/>
  <c r="N41" i="128"/>
  <c r="O41" i="128"/>
  <c r="P41" i="128"/>
  <c r="D42" i="128"/>
  <c r="E42" i="128"/>
  <c r="F42" i="128"/>
  <c r="G42" i="128"/>
  <c r="H42" i="128"/>
  <c r="I42" i="128"/>
  <c r="J42" i="128"/>
  <c r="K42" i="128"/>
  <c r="L42" i="128"/>
  <c r="M42" i="128"/>
  <c r="N42" i="128"/>
  <c r="O42" i="128"/>
  <c r="P50" i="128"/>
  <c r="P51" i="128"/>
  <c r="P54" i="128" s="1"/>
  <c r="P52" i="128"/>
  <c r="O52" i="128"/>
  <c r="D54" i="128"/>
  <c r="E54" i="128"/>
  <c r="F54" i="128"/>
  <c r="G54" i="128"/>
  <c r="H54" i="128"/>
  <c r="I54" i="128"/>
  <c r="J54" i="128"/>
  <c r="K54" i="128"/>
  <c r="L54" i="128"/>
  <c r="M54" i="128"/>
  <c r="N54" i="128"/>
  <c r="O54" i="128"/>
  <c r="D55" i="128"/>
  <c r="E55" i="128"/>
  <c r="F55" i="128"/>
  <c r="G55" i="128"/>
  <c r="H55" i="128"/>
  <c r="I55" i="128"/>
  <c r="J55" i="128"/>
  <c r="K55" i="128"/>
  <c r="L55" i="128"/>
  <c r="M55" i="128"/>
  <c r="O55" i="128"/>
  <c r="J16" i="21"/>
  <c r="D76" i="128"/>
  <c r="H37" i="74"/>
  <c r="H39" i="74"/>
  <c r="H38" i="74"/>
  <c r="H13" i="77"/>
  <c r="H12" i="77"/>
  <c r="J96" i="21"/>
  <c r="J95" i="21"/>
  <c r="F53" i="21" l="1"/>
  <c r="P42" i="128"/>
  <c r="N43" i="128" s="1"/>
  <c r="F305" i="21"/>
  <c r="P113" i="128"/>
  <c r="P101" i="128"/>
  <c r="P29" i="128"/>
  <c r="N30" i="128" s="1"/>
  <c r="O29" i="128"/>
  <c r="N55" i="128"/>
  <c r="P55" i="128"/>
  <c r="J12" i="21"/>
  <c r="J11" i="21" l="1"/>
  <c r="F13" i="98"/>
  <c r="F92" i="106" l="1"/>
  <c r="F91" i="106"/>
  <c r="F101" i="106"/>
  <c r="H115" i="106"/>
  <c r="F99" i="106"/>
  <c r="F13" i="84"/>
  <c r="I88" i="21" l="1"/>
  <c r="J88" i="21"/>
  <c r="E88" i="21"/>
  <c r="J46" i="20"/>
  <c r="J45" i="20"/>
  <c r="J43" i="20"/>
  <c r="J42" i="20"/>
  <c r="J41" i="20"/>
  <c r="J39" i="20"/>
  <c r="J37" i="20"/>
  <c r="J35" i="20"/>
  <c r="J34" i="20"/>
  <c r="J33" i="20"/>
  <c r="J32" i="20"/>
  <c r="J30" i="20"/>
  <c r="J28" i="20"/>
  <c r="J27" i="20"/>
  <c r="J26" i="20"/>
  <c r="J25" i="20"/>
  <c r="J24" i="20"/>
  <c r="J23" i="20"/>
  <c r="J21" i="20"/>
  <c r="J20" i="20"/>
  <c r="J18" i="20"/>
  <c r="J16" i="20"/>
  <c r="J15" i="20"/>
  <c r="J14" i="20"/>
  <c r="J13" i="20"/>
  <c r="J11" i="20"/>
  <c r="J10" i="20"/>
  <c r="J9" i="20"/>
  <c r="J8" i="20"/>
  <c r="J242" i="21" l="1"/>
  <c r="H131" i="121" l="1"/>
  <c r="H130" i="121"/>
  <c r="H29" i="121"/>
  <c r="H30" i="121"/>
  <c r="H28" i="121"/>
  <c r="H93" i="95"/>
  <c r="H92" i="95"/>
  <c r="H20" i="95"/>
  <c r="H21" i="95"/>
  <c r="H22" i="95"/>
  <c r="H23" i="95"/>
  <c r="H26" i="95"/>
  <c r="H122" i="94"/>
  <c r="H121" i="94"/>
  <c r="H26" i="94"/>
  <c r="H27" i="94"/>
  <c r="H28" i="94"/>
  <c r="H29" i="94"/>
  <c r="H30" i="94"/>
  <c r="H31" i="94"/>
  <c r="H4" i="108"/>
  <c r="H4" i="107"/>
  <c r="H4" i="116"/>
  <c r="H4" i="117"/>
  <c r="H4" i="118"/>
  <c r="H4" i="119"/>
  <c r="H118" i="121"/>
  <c r="J744" i="21" s="1"/>
  <c r="H4" i="121"/>
  <c r="H4" i="97"/>
  <c r="H4" i="96"/>
  <c r="H4" i="95"/>
  <c r="H4" i="94"/>
  <c r="H4" i="92"/>
  <c r="H4" i="90"/>
  <c r="H4" i="89"/>
  <c r="H4" i="88"/>
  <c r="H4" i="87"/>
  <c r="H4" i="86"/>
  <c r="H4" i="85"/>
  <c r="H4" i="83"/>
  <c r="H4" i="82"/>
  <c r="H4" i="80"/>
  <c r="H4" i="78"/>
  <c r="H4" i="77"/>
  <c r="H4" i="76"/>
  <c r="H4" i="75"/>
  <c r="H4" i="33"/>
  <c r="H4" i="31"/>
  <c r="H4" i="29"/>
  <c r="H4" i="25"/>
  <c r="I370" i="21"/>
  <c r="E370" i="21"/>
  <c r="F30" i="96" l="1"/>
  <c r="F28" i="96"/>
  <c r="H86" i="95"/>
  <c r="J442" i="21" l="1"/>
  <c r="J361" i="21"/>
  <c r="L118" i="126"/>
  <c r="M118" i="126"/>
  <c r="N118" i="126"/>
  <c r="O118" i="126"/>
  <c r="P118" i="126"/>
  <c r="Q118" i="126"/>
  <c r="C94" i="125"/>
  <c r="J796" i="21" s="1"/>
  <c r="C95" i="125"/>
  <c r="C96" i="125"/>
  <c r="C97" i="125"/>
  <c r="H119" i="106" s="1"/>
  <c r="C114" i="125"/>
  <c r="H266" i="74" s="1"/>
  <c r="C115" i="125"/>
  <c r="H267" i="74" s="1"/>
  <c r="C116" i="125"/>
  <c r="H268" i="74" s="1"/>
  <c r="C117" i="125"/>
  <c r="H269" i="74" s="1"/>
  <c r="C131" i="125"/>
  <c r="H237" i="94" s="1"/>
  <c r="C132" i="125"/>
  <c r="C133" i="125"/>
  <c r="H239" i="94" s="1"/>
  <c r="C134" i="125"/>
  <c r="H240" i="94" s="1"/>
  <c r="C148" i="125"/>
  <c r="C149" i="125"/>
  <c r="C150" i="125"/>
  <c r="C151" i="125"/>
  <c r="C163" i="125"/>
  <c r="C164" i="125"/>
  <c r="G179" i="121"/>
  <c r="F179" i="121"/>
  <c r="E179" i="121"/>
  <c r="H178" i="121"/>
  <c r="H177" i="121"/>
  <c r="G241" i="94"/>
  <c r="E241" i="94"/>
  <c r="H238" i="94"/>
  <c r="F236" i="94"/>
  <c r="F235" i="94"/>
  <c r="F234" i="94"/>
  <c r="F219" i="94"/>
  <c r="F241" i="94" s="1"/>
  <c r="G124" i="106"/>
  <c r="E124" i="106"/>
  <c r="H118" i="106"/>
  <c r="H117" i="106"/>
  <c r="J799" i="21"/>
  <c r="J798" i="21"/>
  <c r="J797" i="21"/>
  <c r="J795" i="21"/>
  <c r="I800" i="21"/>
  <c r="H800" i="21"/>
  <c r="E800" i="21"/>
  <c r="H174" i="121"/>
  <c r="H33" i="76"/>
  <c r="H32" i="76"/>
  <c r="H34" i="82"/>
  <c r="H46" i="31"/>
  <c r="H26" i="79"/>
  <c r="H45" i="106"/>
  <c r="H173" i="121"/>
  <c r="H172" i="121"/>
  <c r="H171" i="121"/>
  <c r="H170" i="121"/>
  <c r="H169" i="121"/>
  <c r="H168" i="121"/>
  <c r="H167" i="121"/>
  <c r="H166" i="121"/>
  <c r="H165" i="121"/>
  <c r="H164" i="121"/>
  <c r="H163" i="121"/>
  <c r="H44" i="106"/>
  <c r="H205" i="95"/>
  <c r="H204" i="95"/>
  <c r="H203" i="95"/>
  <c r="H202" i="95"/>
  <c r="H201" i="95"/>
  <c r="H200" i="95"/>
  <c r="H199" i="95"/>
  <c r="H198" i="95"/>
  <c r="H197" i="95"/>
  <c r="H196" i="95"/>
  <c r="H195" i="95"/>
  <c r="H194" i="95"/>
  <c r="H193" i="95"/>
  <c r="H43" i="106"/>
  <c r="H232" i="94"/>
  <c r="H231" i="94"/>
  <c r="H230" i="94"/>
  <c r="H229" i="94"/>
  <c r="H228" i="94"/>
  <c r="H227" i="94"/>
  <c r="H226" i="94"/>
  <c r="H225" i="94"/>
  <c r="H224" i="94"/>
  <c r="H223" i="94"/>
  <c r="H222" i="94"/>
  <c r="H221" i="94"/>
  <c r="H220" i="94"/>
  <c r="H42" i="106"/>
  <c r="H265" i="74"/>
  <c r="H264" i="74"/>
  <c r="H263" i="74"/>
  <c r="H262" i="74"/>
  <c r="H261" i="74"/>
  <c r="H260" i="74"/>
  <c r="H259" i="74"/>
  <c r="H258" i="74"/>
  <c r="H257" i="74"/>
  <c r="H256" i="74"/>
  <c r="H255" i="74"/>
  <c r="H254" i="74"/>
  <c r="H253" i="74"/>
  <c r="H252" i="74"/>
  <c r="H251" i="74"/>
  <c r="H250" i="74"/>
  <c r="H41" i="106"/>
  <c r="J793" i="21"/>
  <c r="J792" i="21"/>
  <c r="J791" i="21"/>
  <c r="J790" i="21"/>
  <c r="J789" i="21"/>
  <c r="J788" i="21"/>
  <c r="J787" i="21"/>
  <c r="J786" i="21"/>
  <c r="J785" i="21"/>
  <c r="J784" i="21"/>
  <c r="H47" i="106"/>
  <c r="H46" i="106"/>
  <c r="J794" i="21"/>
  <c r="H36" i="31"/>
  <c r="H27" i="116"/>
  <c r="H26" i="116"/>
  <c r="H192" i="95"/>
  <c r="H13" i="117"/>
  <c r="CJ34" i="131" s="1"/>
  <c r="CJ36" i="131" s="1"/>
  <c r="H19" i="91"/>
  <c r="H11" i="118"/>
  <c r="CI34" i="131" s="1"/>
  <c r="CI36" i="131" s="1"/>
  <c r="H16" i="118"/>
  <c r="CI58" i="131" s="1"/>
  <c r="CI60" i="131" s="1"/>
  <c r="H11" i="102"/>
  <c r="CH34" i="131" s="1"/>
  <c r="CH36" i="131" s="1"/>
  <c r="H233" i="94"/>
  <c r="H12" i="119"/>
  <c r="CG34" i="131" s="1"/>
  <c r="CG36" i="131" s="1"/>
  <c r="F43" i="120"/>
  <c r="F42" i="120"/>
  <c r="F41" i="120"/>
  <c r="F40" i="120"/>
  <c r="F36" i="120"/>
  <c r="F35" i="120"/>
  <c r="F34" i="120"/>
  <c r="F33" i="120"/>
  <c r="H44" i="31"/>
  <c r="H235" i="94"/>
  <c r="H234" i="94"/>
  <c r="H20" i="120"/>
  <c r="H176" i="121"/>
  <c r="H175" i="121"/>
  <c r="H191" i="95"/>
  <c r="H25" i="120"/>
  <c r="H24" i="120"/>
  <c r="H23" i="120"/>
  <c r="H22" i="120"/>
  <c r="H21" i="120"/>
  <c r="H19" i="120"/>
  <c r="H31" i="76"/>
  <c r="H22" i="97"/>
  <c r="H79" i="121"/>
  <c r="H78" i="121"/>
  <c r="H206" i="95"/>
  <c r="H13" i="98"/>
  <c r="CD34" i="131" s="1"/>
  <c r="CD36" i="131" s="1"/>
  <c r="F45" i="96"/>
  <c r="F44" i="96"/>
  <c r="F43" i="96"/>
  <c r="F40" i="96"/>
  <c r="F39" i="96"/>
  <c r="F37" i="96"/>
  <c r="F33" i="96"/>
  <c r="F32" i="96"/>
  <c r="F29" i="96"/>
  <c r="F27" i="96"/>
  <c r="H162" i="121"/>
  <c r="H20" i="96"/>
  <c r="H19" i="96"/>
  <c r="H236" i="94"/>
  <c r="H219" i="94"/>
  <c r="H190" i="95"/>
  <c r="H18" i="96"/>
  <c r="H21" i="97"/>
  <c r="H62" i="95"/>
  <c r="CA34" i="131" s="1"/>
  <c r="H20" i="97"/>
  <c r="H86" i="94"/>
  <c r="H17" i="91"/>
  <c r="H85" i="94"/>
  <c r="BZ34" i="131" s="1"/>
  <c r="H19" i="93"/>
  <c r="H20" i="93"/>
  <c r="H21" i="93"/>
  <c r="H23" i="79"/>
  <c r="H18" i="91"/>
  <c r="H20" i="90"/>
  <c r="H30" i="76"/>
  <c r="H24" i="93"/>
  <c r="H23" i="93"/>
  <c r="H22" i="93"/>
  <c r="H28" i="75"/>
  <c r="H21" i="91"/>
  <c r="H21" i="90"/>
  <c r="H15" i="92"/>
  <c r="H14" i="92"/>
  <c r="H13" i="92"/>
  <c r="BX34" i="131" s="1"/>
  <c r="BX36" i="131" s="1"/>
  <c r="H17" i="90"/>
  <c r="H42" i="31"/>
  <c r="H13" i="89"/>
  <c r="H12" i="89"/>
  <c r="F29" i="88"/>
  <c r="F28" i="88"/>
  <c r="F24" i="88"/>
  <c r="F43" i="87"/>
  <c r="F42" i="87"/>
  <c r="F38" i="87"/>
  <c r="F32" i="83"/>
  <c r="F31" i="83"/>
  <c r="F27" i="83"/>
  <c r="F26" i="83"/>
  <c r="H16" i="90"/>
  <c r="H41" i="31"/>
  <c r="H17" i="88"/>
  <c r="H16" i="88"/>
  <c r="J780" i="21"/>
  <c r="H27" i="75"/>
  <c r="H15" i="90"/>
  <c r="H40" i="31"/>
  <c r="H29" i="87"/>
  <c r="H31" i="87"/>
  <c r="H30" i="87"/>
  <c r="H28" i="87"/>
  <c r="H39" i="31"/>
  <c r="H16" i="86"/>
  <c r="H17" i="85"/>
  <c r="BQ58" i="131" s="1"/>
  <c r="BQ60" i="131" s="1"/>
  <c r="H25" i="84"/>
  <c r="H38" i="31"/>
  <c r="H19" i="83"/>
  <c r="H26" i="75"/>
  <c r="H18" i="83"/>
  <c r="H17" i="83"/>
  <c r="H19" i="90"/>
  <c r="H16" i="91"/>
  <c r="H24" i="79"/>
  <c r="H25" i="79"/>
  <c r="H83" i="74"/>
  <c r="H37" i="31"/>
  <c r="H34" i="76"/>
  <c r="H87" i="74"/>
  <c r="H86" i="74"/>
  <c r="H85" i="74"/>
  <c r="H84" i="74"/>
  <c r="H82" i="74"/>
  <c r="H81" i="74"/>
  <c r="H79" i="74"/>
  <c r="H78" i="74"/>
  <c r="H43" i="31"/>
  <c r="H15" i="33"/>
  <c r="H14" i="33"/>
  <c r="H13" i="33"/>
  <c r="H44" i="93"/>
  <c r="BY58" i="131" s="1"/>
  <c r="BY60" i="131" s="1"/>
  <c r="H31" i="31"/>
  <c r="H30" i="31"/>
  <c r="H40" i="84"/>
  <c r="BP58" i="131" s="1"/>
  <c r="BP60" i="131" s="1"/>
  <c r="J783" i="21"/>
  <c r="H19" i="29"/>
  <c r="H18" i="29"/>
  <c r="H35" i="31"/>
  <c r="J782" i="21"/>
  <c r="H45" i="31"/>
  <c r="H19" i="25"/>
  <c r="H18" i="25"/>
  <c r="I23" i="27"/>
  <c r="BA58" i="131" s="1"/>
  <c r="BA60" i="131" s="1"/>
  <c r="J781" i="21"/>
  <c r="I18" i="27"/>
  <c r="H18" i="90"/>
  <c r="J294" i="21"/>
  <c r="J293" i="21"/>
  <c r="J292" i="21"/>
  <c r="J291" i="21"/>
  <c r="H25" i="77"/>
  <c r="BI58" i="131" s="1"/>
  <c r="BI60" i="131" s="1"/>
  <c r="J290" i="21"/>
  <c r="H25" i="75"/>
  <c r="J289" i="21"/>
  <c r="H33" i="82"/>
  <c r="J288" i="21"/>
  <c r="H24" i="25"/>
  <c r="BB58" i="131" s="1"/>
  <c r="BB60" i="131" s="1"/>
  <c r="J287" i="21"/>
  <c r="J286" i="21"/>
  <c r="H34" i="31"/>
  <c r="H22" i="78"/>
  <c r="BJ58" i="131" s="1"/>
  <c r="BJ60" i="131" s="1"/>
  <c r="H21" i="94"/>
  <c r="G21" i="94"/>
  <c r="E21" i="94"/>
  <c r="I317" i="21"/>
  <c r="E317" i="21"/>
  <c r="F179" i="94"/>
  <c r="H179" i="94" s="1"/>
  <c r="CB34" i="131" l="1"/>
  <c r="CB36" i="131" s="1"/>
  <c r="BU34" i="131"/>
  <c r="BU36" i="131" s="1"/>
  <c r="BW58" i="131"/>
  <c r="BW60" i="131" s="1"/>
  <c r="H47" i="31"/>
  <c r="BD58" i="131" s="1"/>
  <c r="BD60" i="131" s="1"/>
  <c r="BD61" i="131" s="1"/>
  <c r="BO34" i="131"/>
  <c r="BO36" i="131" s="1"/>
  <c r="BN58" i="131"/>
  <c r="BN60" i="131" s="1"/>
  <c r="BD34" i="131"/>
  <c r="BD36" i="131" s="1"/>
  <c r="BY34" i="131"/>
  <c r="BY36" i="131" s="1"/>
  <c r="BE34" i="131"/>
  <c r="BE36" i="131" s="1"/>
  <c r="H35" i="76"/>
  <c r="BH58" i="131" s="1"/>
  <c r="BH60" i="131" s="1"/>
  <c r="BH61" i="131" s="1"/>
  <c r="BV58" i="131"/>
  <c r="BV60" i="131" s="1"/>
  <c r="BF58" i="131"/>
  <c r="H88" i="74"/>
  <c r="BF34" i="131" s="1"/>
  <c r="H116" i="106"/>
  <c r="H179" i="121"/>
  <c r="CE58" i="131" s="1"/>
  <c r="H120" i="106"/>
  <c r="H123" i="106"/>
  <c r="H241" i="94"/>
  <c r="BZ58" i="131" s="1"/>
  <c r="H121" i="106"/>
  <c r="H122" i="106"/>
  <c r="J800" i="21"/>
  <c r="AZ58" i="131" s="1"/>
  <c r="H12" i="106"/>
  <c r="F13" i="108"/>
  <c r="F14" i="108" s="1"/>
  <c r="F9" i="108"/>
  <c r="F10" i="108" s="1"/>
  <c r="F32" i="107"/>
  <c r="F31" i="107"/>
  <c r="F30" i="107"/>
  <c r="F29" i="107"/>
  <c r="F28" i="107"/>
  <c r="F27" i="107"/>
  <c r="F33" i="107" s="1"/>
  <c r="F35" i="107" s="1"/>
  <c r="F26" i="107"/>
  <c r="F19" i="107"/>
  <c r="F18" i="107"/>
  <c r="F17" i="107"/>
  <c r="F20" i="107" s="1"/>
  <c r="F13" i="107"/>
  <c r="F12" i="107"/>
  <c r="F11" i="107"/>
  <c r="F14" i="107" s="1"/>
  <c r="F45" i="116"/>
  <c r="F46" i="116" s="1"/>
  <c r="F41" i="116"/>
  <c r="F40" i="116"/>
  <c r="F39" i="116"/>
  <c r="F38" i="116"/>
  <c r="F37" i="116"/>
  <c r="F36" i="116"/>
  <c r="F35" i="116"/>
  <c r="F34" i="116"/>
  <c r="F42" i="116" s="1"/>
  <c r="F48" i="116" s="1"/>
  <c r="F28" i="116"/>
  <c r="F23" i="116"/>
  <c r="F19" i="116"/>
  <c r="F18" i="116"/>
  <c r="F15" i="116"/>
  <c r="F13" i="116"/>
  <c r="F30" i="116" s="1"/>
  <c r="F22" i="117"/>
  <c r="F23" i="117" s="1"/>
  <c r="H7" i="117" s="1"/>
  <c r="F14" i="117"/>
  <c r="F17" i="118"/>
  <c r="F18" i="118" s="1"/>
  <c r="H7" i="118" s="1"/>
  <c r="F17" i="102"/>
  <c r="F16" i="102"/>
  <c r="F19" i="119"/>
  <c r="F11" i="119"/>
  <c r="F10" i="119"/>
  <c r="F13" i="119" s="1"/>
  <c r="F20" i="119" s="1"/>
  <c r="H7" i="119" s="1"/>
  <c r="F44" i="120"/>
  <c r="F37" i="120"/>
  <c r="F26" i="120"/>
  <c r="F13" i="120"/>
  <c r="F12" i="120"/>
  <c r="F14" i="120" s="1"/>
  <c r="F80" i="121"/>
  <c r="F183" i="121"/>
  <c r="F182" i="121"/>
  <c r="F159" i="121"/>
  <c r="F158" i="121"/>
  <c r="F157" i="121"/>
  <c r="F156" i="121"/>
  <c r="F155" i="121"/>
  <c r="F154" i="121"/>
  <c r="F153" i="121"/>
  <c r="F152" i="121"/>
  <c r="F149" i="121"/>
  <c r="F148" i="121"/>
  <c r="F147" i="121"/>
  <c r="F146" i="121"/>
  <c r="F145" i="121"/>
  <c r="F144" i="121"/>
  <c r="F143" i="121"/>
  <c r="F142" i="121"/>
  <c r="F141" i="121"/>
  <c r="F140" i="121"/>
  <c r="F139" i="121"/>
  <c r="F138" i="121"/>
  <c r="F137" i="121"/>
  <c r="F134" i="121"/>
  <c r="F131" i="121"/>
  <c r="F130" i="121"/>
  <c r="F129" i="121"/>
  <c r="F128" i="121"/>
  <c r="F127" i="121"/>
  <c r="F126" i="121"/>
  <c r="F125" i="121"/>
  <c r="F124" i="121"/>
  <c r="F123" i="121"/>
  <c r="F122" i="121"/>
  <c r="F121" i="121"/>
  <c r="F120" i="121"/>
  <c r="F119" i="121"/>
  <c r="F118" i="121"/>
  <c r="F117" i="121"/>
  <c r="F116" i="121"/>
  <c r="F115" i="121"/>
  <c r="F114" i="121"/>
  <c r="F113" i="121"/>
  <c r="F112" i="121"/>
  <c r="F111" i="121"/>
  <c r="F110" i="121"/>
  <c r="F109" i="121"/>
  <c r="F108" i="121"/>
  <c r="F107" i="121"/>
  <c r="F106" i="121"/>
  <c r="F105" i="121"/>
  <c r="F104" i="121"/>
  <c r="F103" i="121"/>
  <c r="F102" i="121"/>
  <c r="F101" i="121"/>
  <c r="F100" i="121"/>
  <c r="F99" i="121"/>
  <c r="F98" i="121"/>
  <c r="F97" i="121"/>
  <c r="F96" i="121"/>
  <c r="F95" i="121"/>
  <c r="F94" i="121"/>
  <c r="F93" i="121"/>
  <c r="F92" i="121"/>
  <c r="F91" i="121"/>
  <c r="F90" i="121"/>
  <c r="F89" i="121"/>
  <c r="F88" i="121"/>
  <c r="F74" i="121"/>
  <c r="F75" i="121" s="1"/>
  <c r="F69" i="121"/>
  <c r="F70" i="121" s="1"/>
  <c r="F65" i="121"/>
  <c r="F66" i="121" s="1"/>
  <c r="F59" i="121"/>
  <c r="F60" i="121" s="1"/>
  <c r="F55" i="121"/>
  <c r="F54" i="121"/>
  <c r="F53" i="121"/>
  <c r="F49" i="121"/>
  <c r="F48" i="121"/>
  <c r="F47" i="121"/>
  <c r="F42" i="121"/>
  <c r="F41" i="121"/>
  <c r="F40" i="121"/>
  <c r="F39" i="121"/>
  <c r="F38" i="121"/>
  <c r="F37" i="121"/>
  <c r="F36" i="121"/>
  <c r="F32" i="121"/>
  <c r="F31" i="121"/>
  <c r="F30" i="121"/>
  <c r="F29" i="121"/>
  <c r="F28" i="121"/>
  <c r="F22" i="121"/>
  <c r="F19" i="121"/>
  <c r="F18" i="121"/>
  <c r="F17" i="121"/>
  <c r="F13" i="121"/>
  <c r="F12" i="121"/>
  <c r="F25" i="98"/>
  <c r="F21" i="98"/>
  <c r="F14" i="98"/>
  <c r="F10" i="98"/>
  <c r="F23" i="97"/>
  <c r="F25" i="97" s="1"/>
  <c r="F14" i="97"/>
  <c r="F16" i="97" s="1"/>
  <c r="F13" i="97"/>
  <c r="F12" i="97"/>
  <c r="F12" i="96"/>
  <c r="F13" i="96" s="1"/>
  <c r="F17" i="96"/>
  <c r="F16" i="96"/>
  <c r="F31" i="96"/>
  <c r="F47" i="96"/>
  <c r="F46" i="96"/>
  <c r="F42" i="96"/>
  <c r="F48" i="96" s="1"/>
  <c r="F41" i="96"/>
  <c r="F38" i="96"/>
  <c r="F54" i="96"/>
  <c r="F53" i="96"/>
  <c r="F52" i="96"/>
  <c r="F51" i="96"/>
  <c r="F50" i="96"/>
  <c r="F34" i="96"/>
  <c r="F207" i="95"/>
  <c r="F212" i="95"/>
  <c r="F211" i="95"/>
  <c r="F210" i="95"/>
  <c r="F213" i="95" s="1"/>
  <c r="F186" i="95"/>
  <c r="F185" i="95"/>
  <c r="F184" i="95"/>
  <c r="F183" i="95"/>
  <c r="F182" i="95"/>
  <c r="F181" i="95"/>
  <c r="F180" i="95"/>
  <c r="F179" i="95"/>
  <c r="F178" i="95"/>
  <c r="F177" i="95"/>
  <c r="F176" i="95"/>
  <c r="F175" i="95"/>
  <c r="F174" i="95"/>
  <c r="F173" i="95"/>
  <c r="F172" i="95"/>
  <c r="F171" i="95"/>
  <c r="F170" i="95"/>
  <c r="F169" i="95"/>
  <c r="F168" i="95"/>
  <c r="F167" i="95"/>
  <c r="F166" i="95"/>
  <c r="F187" i="95" s="1"/>
  <c r="F162" i="95"/>
  <c r="F161" i="95"/>
  <c r="F160" i="95"/>
  <c r="F159" i="95"/>
  <c r="F158" i="95"/>
  <c r="F157" i="95"/>
  <c r="F156" i="95"/>
  <c r="F155" i="95"/>
  <c r="F154" i="95"/>
  <c r="F153" i="95"/>
  <c r="F152" i="95"/>
  <c r="H152" i="95" s="1"/>
  <c r="F151" i="95"/>
  <c r="H151" i="95" s="1"/>
  <c r="F150" i="95"/>
  <c r="F149" i="95"/>
  <c r="F148" i="95"/>
  <c r="F147" i="95"/>
  <c r="F146" i="95"/>
  <c r="F145" i="95"/>
  <c r="F144" i="95"/>
  <c r="F143" i="95"/>
  <c r="F142" i="95"/>
  <c r="F141" i="95"/>
  <c r="F140" i="95"/>
  <c r="F139" i="95"/>
  <c r="F138" i="95"/>
  <c r="H138" i="95" s="1"/>
  <c r="F137" i="95"/>
  <c r="H137" i="95" s="1"/>
  <c r="F136" i="95"/>
  <c r="H136" i="95" s="1"/>
  <c r="F135" i="95"/>
  <c r="F134" i="95"/>
  <c r="H134" i="95" s="1"/>
  <c r="F133" i="95"/>
  <c r="F132" i="95"/>
  <c r="F131" i="95"/>
  <c r="F130" i="95"/>
  <c r="F129" i="95"/>
  <c r="H129" i="95" s="1"/>
  <c r="F128" i="95"/>
  <c r="F127" i="95"/>
  <c r="H127" i="95" s="1"/>
  <c r="F123" i="95"/>
  <c r="F122" i="95"/>
  <c r="F121" i="95"/>
  <c r="F124" i="95" s="1"/>
  <c r="F117" i="95"/>
  <c r="F116" i="95"/>
  <c r="F115" i="95"/>
  <c r="F114" i="95"/>
  <c r="F113" i="95"/>
  <c r="F112" i="95"/>
  <c r="F111" i="95"/>
  <c r="F110" i="95"/>
  <c r="F109" i="95"/>
  <c r="F108" i="95"/>
  <c r="F107" i="95"/>
  <c r="F106" i="95"/>
  <c r="F105" i="95"/>
  <c r="F104" i="95"/>
  <c r="F103" i="95"/>
  <c r="F102" i="95"/>
  <c r="F101" i="95"/>
  <c r="F100" i="95"/>
  <c r="F99" i="95"/>
  <c r="F98" i="95"/>
  <c r="F97" i="95"/>
  <c r="F93" i="95"/>
  <c r="F92" i="95"/>
  <c r="F91" i="95"/>
  <c r="F90" i="95"/>
  <c r="F89" i="95"/>
  <c r="F88" i="95"/>
  <c r="F87" i="95"/>
  <c r="F86" i="95"/>
  <c r="F85" i="95"/>
  <c r="F84" i="95"/>
  <c r="F83" i="95"/>
  <c r="F82" i="95"/>
  <c r="F81" i="95"/>
  <c r="F80" i="95"/>
  <c r="F79" i="95"/>
  <c r="F78" i="95"/>
  <c r="F77" i="95"/>
  <c r="F76" i="95"/>
  <c r="F75" i="95"/>
  <c r="F74" i="95"/>
  <c r="F73" i="95"/>
  <c r="F72" i="95"/>
  <c r="F71" i="95"/>
  <c r="F70" i="95"/>
  <c r="F61" i="95"/>
  <c r="F58" i="95"/>
  <c r="F57" i="95"/>
  <c r="F59" i="95" s="1"/>
  <c r="F52" i="95"/>
  <c r="F53" i="95" s="1"/>
  <c r="F46" i="95"/>
  <c r="F45" i="95"/>
  <c r="F47" i="95" s="1"/>
  <c r="F41" i="95"/>
  <c r="F40" i="95"/>
  <c r="F39" i="95"/>
  <c r="F42" i="95" s="1"/>
  <c r="F49" i="95" s="1"/>
  <c r="F35" i="95"/>
  <c r="F34" i="95"/>
  <c r="F33" i="95"/>
  <c r="F32" i="95"/>
  <c r="F31" i="95"/>
  <c r="F26" i="95"/>
  <c r="F25" i="95"/>
  <c r="F24" i="95"/>
  <c r="F23" i="95"/>
  <c r="F22" i="95"/>
  <c r="F21" i="95"/>
  <c r="F27" i="95" s="1"/>
  <c r="F29" i="95" s="1"/>
  <c r="F20" i="95"/>
  <c r="F19" i="95"/>
  <c r="F18" i="95"/>
  <c r="F17" i="95"/>
  <c r="F13" i="95"/>
  <c r="F12" i="95"/>
  <c r="F11" i="95"/>
  <c r="F10" i="95"/>
  <c r="F122" i="94"/>
  <c r="F250" i="94"/>
  <c r="F251" i="94" s="1"/>
  <c r="F245" i="94"/>
  <c r="F244" i="94"/>
  <c r="F215" i="94"/>
  <c r="F214" i="94"/>
  <c r="F213" i="94"/>
  <c r="F212" i="94"/>
  <c r="F211" i="94"/>
  <c r="F210" i="94"/>
  <c r="F209" i="94"/>
  <c r="F208" i="94"/>
  <c r="F207" i="94"/>
  <c r="F206" i="94"/>
  <c r="F205" i="94"/>
  <c r="F204" i="94"/>
  <c r="F203" i="94"/>
  <c r="F202" i="94"/>
  <c r="F201" i="94"/>
  <c r="F200" i="94"/>
  <c r="F199" i="94"/>
  <c r="F198" i="94"/>
  <c r="F197" i="94"/>
  <c r="F196" i="94"/>
  <c r="F195" i="94"/>
  <c r="F194" i="94"/>
  <c r="F193" i="94"/>
  <c r="F190" i="94"/>
  <c r="F187" i="94"/>
  <c r="F186" i="94"/>
  <c r="F185" i="94"/>
  <c r="F184" i="94"/>
  <c r="F183" i="94"/>
  <c r="F182" i="94"/>
  <c r="F181" i="94"/>
  <c r="H181" i="94" s="1"/>
  <c r="F180" i="94"/>
  <c r="F178" i="94"/>
  <c r="F177" i="94"/>
  <c r="F176" i="94"/>
  <c r="F175" i="94"/>
  <c r="F174" i="94"/>
  <c r="F173" i="94"/>
  <c r="F172" i="94"/>
  <c r="F171" i="94"/>
  <c r="F170" i="94"/>
  <c r="F169" i="94"/>
  <c r="F168" i="94"/>
  <c r="F167" i="94"/>
  <c r="F166" i="94"/>
  <c r="F165" i="94"/>
  <c r="F164" i="94"/>
  <c r="H164" i="94" s="1"/>
  <c r="F163" i="94"/>
  <c r="H163" i="94" s="1"/>
  <c r="F162" i="94"/>
  <c r="H162" i="94" s="1"/>
  <c r="F161" i="94"/>
  <c r="F160" i="94"/>
  <c r="H160" i="94" s="1"/>
  <c r="F159" i="94"/>
  <c r="F158" i="94"/>
  <c r="F157" i="94"/>
  <c r="F156" i="94"/>
  <c r="F155" i="94"/>
  <c r="H155" i="94" s="1"/>
  <c r="F154" i="94"/>
  <c r="F153" i="94"/>
  <c r="H153" i="94" s="1"/>
  <c r="F149" i="94"/>
  <c r="F148" i="94"/>
  <c r="F147" i="94"/>
  <c r="F146" i="94"/>
  <c r="F145" i="94"/>
  <c r="F144" i="94"/>
  <c r="F143" i="94"/>
  <c r="F142" i="94"/>
  <c r="F141" i="94"/>
  <c r="F140" i="94"/>
  <c r="F139" i="94"/>
  <c r="F138" i="94"/>
  <c r="F137" i="94"/>
  <c r="F136" i="94"/>
  <c r="F135" i="94"/>
  <c r="F134" i="94"/>
  <c r="F133" i="94"/>
  <c r="F132" i="94"/>
  <c r="F131" i="94"/>
  <c r="F130" i="94"/>
  <c r="F129" i="94"/>
  <c r="F128" i="94"/>
  <c r="F127" i="94"/>
  <c r="F126" i="94"/>
  <c r="F121" i="94"/>
  <c r="F120" i="94"/>
  <c r="F119" i="94"/>
  <c r="F118" i="94"/>
  <c r="F117" i="94"/>
  <c r="F116" i="94"/>
  <c r="F115" i="94"/>
  <c r="F114" i="94"/>
  <c r="F113" i="94"/>
  <c r="F112" i="94"/>
  <c r="F111" i="94"/>
  <c r="F110" i="94"/>
  <c r="F109" i="94"/>
  <c r="F108" i="94"/>
  <c r="F107" i="94"/>
  <c r="F106" i="94"/>
  <c r="F105" i="94"/>
  <c r="F104" i="94"/>
  <c r="F103" i="94"/>
  <c r="F102" i="94"/>
  <c r="F101" i="94"/>
  <c r="F100" i="94"/>
  <c r="F99" i="94"/>
  <c r="F98" i="94"/>
  <c r="F97" i="94"/>
  <c r="F96" i="94"/>
  <c r="F95" i="94"/>
  <c r="F89" i="94"/>
  <c r="F84" i="94"/>
  <c r="F83" i="94"/>
  <c r="F82" i="94"/>
  <c r="F81" i="94"/>
  <c r="F80" i="94"/>
  <c r="F74" i="94"/>
  <c r="F75" i="94" s="1"/>
  <c r="F70" i="94"/>
  <c r="F71" i="94" s="1"/>
  <c r="F63" i="94"/>
  <c r="F62" i="94"/>
  <c r="F61" i="94"/>
  <c r="F57" i="94"/>
  <c r="F56" i="94"/>
  <c r="F55" i="94"/>
  <c r="F51" i="94"/>
  <c r="F50" i="94"/>
  <c r="F49" i="94"/>
  <c r="F48" i="94"/>
  <c r="F43" i="94"/>
  <c r="F42" i="94"/>
  <c r="F41" i="94"/>
  <c r="F40" i="94"/>
  <c r="F39" i="94"/>
  <c r="F38" i="94"/>
  <c r="F37" i="94"/>
  <c r="F36" i="94"/>
  <c r="F35" i="94"/>
  <c r="F34" i="94"/>
  <c r="F33" i="94"/>
  <c r="F32" i="94"/>
  <c r="F31" i="94"/>
  <c r="F30" i="94"/>
  <c r="F29" i="94"/>
  <c r="F28" i="94"/>
  <c r="F27" i="94"/>
  <c r="F26" i="94"/>
  <c r="F25" i="94"/>
  <c r="F17" i="94"/>
  <c r="F16" i="94"/>
  <c r="F15" i="94"/>
  <c r="F11" i="94"/>
  <c r="F12" i="94" s="1"/>
  <c r="F41" i="93"/>
  <c r="F40" i="93"/>
  <c r="F39" i="93"/>
  <c r="F38" i="93"/>
  <c r="F37" i="93"/>
  <c r="F36" i="93"/>
  <c r="F35" i="93"/>
  <c r="F34" i="93"/>
  <c r="F33" i="93"/>
  <c r="F42" i="93" s="1"/>
  <c r="F48" i="93" s="1"/>
  <c r="F32" i="93"/>
  <c r="F25" i="93"/>
  <c r="F16" i="93"/>
  <c r="F15" i="93"/>
  <c r="F14" i="93"/>
  <c r="F13" i="93"/>
  <c r="F12" i="93"/>
  <c r="F11" i="93"/>
  <c r="F10" i="93"/>
  <c r="F16" i="92"/>
  <c r="F25" i="92"/>
  <c r="F24" i="92"/>
  <c r="F23" i="92"/>
  <c r="H23" i="92" s="1"/>
  <c r="F22" i="92"/>
  <c r="H22" i="92" s="1"/>
  <c r="F21" i="92"/>
  <c r="H21" i="92" s="1"/>
  <c r="F20" i="92"/>
  <c r="H20" i="92" s="1"/>
  <c r="F19" i="92"/>
  <c r="H19" i="92" s="1"/>
  <c r="F18" i="92"/>
  <c r="H18" i="92" s="1"/>
  <c r="F13" i="91"/>
  <c r="F12" i="91"/>
  <c r="F11" i="91"/>
  <c r="F10" i="91"/>
  <c r="F22" i="91"/>
  <c r="F12" i="90"/>
  <c r="F11" i="90"/>
  <c r="F10" i="90"/>
  <c r="F22" i="90"/>
  <c r="F18" i="89"/>
  <c r="F19" i="89" s="1"/>
  <c r="H7" i="89" s="1"/>
  <c r="F17" i="89"/>
  <c r="F16" i="89"/>
  <c r="F14" i="89"/>
  <c r="F11" i="89"/>
  <c r="F10" i="89"/>
  <c r="F30" i="88"/>
  <c r="F25" i="88"/>
  <c r="F18" i="88"/>
  <c r="F12" i="88"/>
  <c r="F13" i="88" s="1"/>
  <c r="F20" i="88" s="1"/>
  <c r="F39" i="87"/>
  <c r="F44" i="87"/>
  <c r="F47" i="87"/>
  <c r="F46" i="87"/>
  <c r="F32" i="87"/>
  <c r="F19" i="87"/>
  <c r="F25" i="87"/>
  <c r="F24" i="87"/>
  <c r="F21" i="87"/>
  <c r="F18" i="87"/>
  <c r="F13" i="87"/>
  <c r="F14" i="87" s="1"/>
  <c r="F34" i="87" s="1"/>
  <c r="F28" i="86"/>
  <c r="F24" i="86"/>
  <c r="F30" i="86" s="1"/>
  <c r="F27" i="86"/>
  <c r="F23" i="86"/>
  <c r="F17" i="86"/>
  <c r="F12" i="86"/>
  <c r="F13" i="86" s="1"/>
  <c r="F13" i="85"/>
  <c r="F15" i="85" s="1"/>
  <c r="F18" i="85"/>
  <c r="F12" i="85"/>
  <c r="F41" i="84"/>
  <c r="F37" i="84"/>
  <c r="F43" i="84" s="1"/>
  <c r="F33" i="84"/>
  <c r="F26" i="84"/>
  <c r="F18" i="84"/>
  <c r="F19" i="84" s="1"/>
  <c r="F14" i="84"/>
  <c r="F15" i="84" s="1"/>
  <c r="F21" i="84" s="1"/>
  <c r="F28" i="84" s="1"/>
  <c r="F12" i="84"/>
  <c r="F33" i="83"/>
  <c r="F28" i="83"/>
  <c r="F22" i="83"/>
  <c r="F20" i="83"/>
  <c r="F14" i="83"/>
  <c r="F13" i="83"/>
  <c r="F12" i="83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19" i="82"/>
  <c r="F35" i="82" s="1"/>
  <c r="F14" i="82"/>
  <c r="F15" i="82" s="1"/>
  <c r="F10" i="82"/>
  <c r="F9" i="82"/>
  <c r="F17" i="82" s="1"/>
  <c r="F36" i="82" s="1"/>
  <c r="H7" i="82" s="1"/>
  <c r="E10" i="81"/>
  <c r="F13" i="81"/>
  <c r="F14" i="81"/>
  <c r="F15" i="81"/>
  <c r="F16" i="81"/>
  <c r="F17" i="81"/>
  <c r="F18" i="81"/>
  <c r="F19" i="81"/>
  <c r="F20" i="81"/>
  <c r="F25" i="81"/>
  <c r="F12" i="81"/>
  <c r="F9" i="81"/>
  <c r="F10" i="81" s="1"/>
  <c r="F20" i="80"/>
  <c r="F11" i="80"/>
  <c r="F21" i="80" s="1"/>
  <c r="H7" i="80" s="1"/>
  <c r="F18" i="79"/>
  <c r="F17" i="79"/>
  <c r="F16" i="79"/>
  <c r="F19" i="79" s="1"/>
  <c r="F11" i="79"/>
  <c r="F12" i="79" s="1"/>
  <c r="F23" i="78"/>
  <c r="F17" i="78"/>
  <c r="F18" i="78" s="1"/>
  <c r="F12" i="78"/>
  <c r="F11" i="78"/>
  <c r="F28" i="77"/>
  <c r="F26" i="77"/>
  <c r="F19" i="77"/>
  <c r="F20" i="77" s="1"/>
  <c r="F13" i="77"/>
  <c r="F12" i="77"/>
  <c r="F14" i="77" s="1"/>
  <c r="F22" i="77" s="1"/>
  <c r="F29" i="77" s="1"/>
  <c r="H7" i="77" s="1"/>
  <c r="F35" i="76"/>
  <c r="F26" i="76"/>
  <c r="F20" i="76"/>
  <c r="F25" i="76"/>
  <c r="F24" i="76"/>
  <c r="F19" i="76"/>
  <c r="F18" i="76"/>
  <c r="F17" i="76"/>
  <c r="F12" i="76"/>
  <c r="F13" i="76" s="1"/>
  <c r="F28" i="76" s="1"/>
  <c r="F36" i="76" s="1"/>
  <c r="H7" i="76" s="1"/>
  <c r="F29" i="75"/>
  <c r="F21" i="75"/>
  <c r="F19" i="75"/>
  <c r="F18" i="75"/>
  <c r="F17" i="75"/>
  <c r="F12" i="75"/>
  <c r="F11" i="75"/>
  <c r="F13" i="75" s="1"/>
  <c r="F23" i="75" s="1"/>
  <c r="F30" i="75" s="1"/>
  <c r="H7" i="75" s="1"/>
  <c r="F247" i="74"/>
  <c r="F246" i="74"/>
  <c r="F245" i="74"/>
  <c r="F244" i="74"/>
  <c r="F243" i="74"/>
  <c r="F242" i="74"/>
  <c r="F241" i="74"/>
  <c r="F240" i="74"/>
  <c r="F239" i="74"/>
  <c r="F235" i="74"/>
  <c r="F234" i="74"/>
  <c r="F233" i="74"/>
  <c r="F232" i="74"/>
  <c r="F231" i="74"/>
  <c r="F230" i="74"/>
  <c r="F229" i="74"/>
  <c r="F228" i="74"/>
  <c r="F227" i="74"/>
  <c r="F226" i="74"/>
  <c r="F225" i="74"/>
  <c r="F224" i="74"/>
  <c r="F223" i="74"/>
  <c r="F222" i="74"/>
  <c r="F218" i="74"/>
  <c r="F217" i="74"/>
  <c r="F216" i="74"/>
  <c r="F215" i="74"/>
  <c r="F214" i="74"/>
  <c r="F213" i="74"/>
  <c r="F212" i="74"/>
  <c r="F211" i="74"/>
  <c r="F210" i="74"/>
  <c r="F209" i="74"/>
  <c r="F208" i="74"/>
  <c r="F207" i="74"/>
  <c r="F203" i="74"/>
  <c r="F204" i="74" s="1"/>
  <c r="F199" i="74"/>
  <c r="F198" i="74"/>
  <c r="F197" i="74"/>
  <c r="F196" i="74"/>
  <c r="F195" i="74"/>
  <c r="F194" i="74"/>
  <c r="F193" i="74"/>
  <c r="F192" i="74"/>
  <c r="F191" i="74"/>
  <c r="F190" i="74"/>
  <c r="F189" i="74"/>
  <c r="F188" i="74"/>
  <c r="F187" i="74"/>
  <c r="F186" i="74"/>
  <c r="F185" i="74"/>
  <c r="F184" i="74"/>
  <c r="F183" i="74"/>
  <c r="F182" i="74"/>
  <c r="F181" i="74"/>
  <c r="F180" i="74"/>
  <c r="F179" i="74"/>
  <c r="F178" i="74"/>
  <c r="F177" i="74"/>
  <c r="F176" i="74"/>
  <c r="F175" i="74"/>
  <c r="F174" i="74"/>
  <c r="F173" i="74"/>
  <c r="F169" i="74"/>
  <c r="F168" i="74"/>
  <c r="F167" i="74"/>
  <c r="F166" i="74"/>
  <c r="F165" i="74"/>
  <c r="F164" i="74"/>
  <c r="F163" i="74"/>
  <c r="F162" i="74"/>
  <c r="F161" i="74"/>
  <c r="F160" i="74"/>
  <c r="F159" i="74"/>
  <c r="F158" i="74"/>
  <c r="F157" i="74"/>
  <c r="F156" i="74"/>
  <c r="F155" i="74"/>
  <c r="F154" i="74"/>
  <c r="F153" i="74"/>
  <c r="F152" i="74"/>
  <c r="F151" i="74"/>
  <c r="F150" i="74"/>
  <c r="F149" i="74"/>
  <c r="F148" i="74"/>
  <c r="F147" i="74"/>
  <c r="F143" i="74"/>
  <c r="F142" i="74"/>
  <c r="F141" i="74"/>
  <c r="F140" i="74"/>
  <c r="F139" i="74"/>
  <c r="F138" i="74"/>
  <c r="F137" i="74"/>
  <c r="F136" i="74"/>
  <c r="F131" i="74"/>
  <c r="F130" i="74"/>
  <c r="F129" i="74"/>
  <c r="F128" i="74"/>
  <c r="F127" i="74"/>
  <c r="F126" i="74"/>
  <c r="F125" i="74"/>
  <c r="F124" i="74"/>
  <c r="F123" i="74"/>
  <c r="F122" i="74"/>
  <c r="F121" i="74"/>
  <c r="F120" i="74"/>
  <c r="F119" i="74"/>
  <c r="F118" i="74"/>
  <c r="F117" i="74"/>
  <c r="F116" i="74"/>
  <c r="F115" i="74"/>
  <c r="F114" i="74"/>
  <c r="F113" i="74"/>
  <c r="F112" i="74"/>
  <c r="F111" i="74"/>
  <c r="F110" i="74"/>
  <c r="F109" i="74"/>
  <c r="F108" i="74"/>
  <c r="F107" i="74"/>
  <c r="F106" i="74"/>
  <c r="F105" i="74"/>
  <c r="F104" i="74"/>
  <c r="F103" i="74"/>
  <c r="F102" i="74"/>
  <c r="F101" i="74"/>
  <c r="F100" i="74"/>
  <c r="F99" i="74"/>
  <c r="F98" i="74"/>
  <c r="F97" i="74"/>
  <c r="F96" i="74"/>
  <c r="F95" i="74"/>
  <c r="F88" i="74"/>
  <c r="F74" i="74"/>
  <c r="F75" i="74" s="1"/>
  <c r="F66" i="74"/>
  <c r="F65" i="74"/>
  <c r="F64" i="74"/>
  <c r="F61" i="74"/>
  <c r="F58" i="74"/>
  <c r="F59" i="74" s="1"/>
  <c r="F53" i="74"/>
  <c r="F52" i="74"/>
  <c r="F51" i="74"/>
  <c r="F50" i="74"/>
  <c r="F45" i="74"/>
  <c r="F44" i="74"/>
  <c r="F46" i="74" s="1"/>
  <c r="F39" i="74"/>
  <c r="F38" i="74"/>
  <c r="F37" i="74"/>
  <c r="F33" i="74"/>
  <c r="F31" i="74"/>
  <c r="F30" i="74"/>
  <c r="F29" i="74"/>
  <c r="F28" i="74"/>
  <c r="F27" i="74"/>
  <c r="F26" i="74"/>
  <c r="F25" i="74"/>
  <c r="F24" i="74"/>
  <c r="F23" i="74"/>
  <c r="F22" i="74"/>
  <c r="F21" i="74"/>
  <c r="F17" i="74"/>
  <c r="F13" i="74"/>
  <c r="F12" i="74"/>
  <c r="F14" i="74" s="1"/>
  <c r="F33" i="33"/>
  <c r="F32" i="33"/>
  <c r="F31" i="33"/>
  <c r="F30" i="33"/>
  <c r="F29" i="33"/>
  <c r="F28" i="33"/>
  <c r="F27" i="33"/>
  <c r="F26" i="33"/>
  <c r="F25" i="33"/>
  <c r="F34" i="33" s="1"/>
  <c r="F24" i="33"/>
  <c r="F23" i="33"/>
  <c r="F22" i="33"/>
  <c r="F21" i="33"/>
  <c r="F20" i="33"/>
  <c r="F19" i="33"/>
  <c r="F16" i="33"/>
  <c r="F17" i="33" s="1"/>
  <c r="F12" i="33"/>
  <c r="F11" i="33"/>
  <c r="F10" i="33"/>
  <c r="F47" i="31"/>
  <c r="F20" i="31"/>
  <c r="F27" i="31" s="1"/>
  <c r="F24" i="31"/>
  <c r="F25" i="31" s="1"/>
  <c r="F19" i="31"/>
  <c r="F13" i="31"/>
  <c r="F12" i="31"/>
  <c r="F14" i="31" s="1"/>
  <c r="F32" i="31" s="1"/>
  <c r="F48" i="31" s="1"/>
  <c r="H7" i="31" s="1"/>
  <c r="F27" i="29"/>
  <c r="F26" i="29"/>
  <c r="F25" i="29"/>
  <c r="F24" i="29"/>
  <c r="F20" i="29"/>
  <c r="F12" i="29"/>
  <c r="F13" i="29" s="1"/>
  <c r="F15" i="29" s="1"/>
  <c r="F22" i="29" s="1"/>
  <c r="F28" i="29" s="1"/>
  <c r="H7" i="29" s="1"/>
  <c r="F25" i="25"/>
  <c r="F20" i="25"/>
  <c r="F12" i="25"/>
  <c r="F13" i="25" s="1"/>
  <c r="F15" i="25" s="1"/>
  <c r="F22" i="25" s="1"/>
  <c r="F26" i="25" s="1"/>
  <c r="H7" i="25" s="1"/>
  <c r="G24" i="27"/>
  <c r="G19" i="27"/>
  <c r="G12" i="27"/>
  <c r="G13" i="27" s="1"/>
  <c r="G15" i="27" s="1"/>
  <c r="J750" i="21"/>
  <c r="J745" i="21"/>
  <c r="H737" i="21"/>
  <c r="J710" i="21"/>
  <c r="J709" i="21"/>
  <c r="J684" i="21"/>
  <c r="H676" i="21"/>
  <c r="H677" i="21" s="1"/>
  <c r="H672" i="21"/>
  <c r="H673" i="21" s="1"/>
  <c r="H591" i="21"/>
  <c r="J526" i="21"/>
  <c r="J508" i="21"/>
  <c r="J507" i="21"/>
  <c r="J456" i="21"/>
  <c r="J455" i="21"/>
  <c r="J440" i="21"/>
  <c r="J392" i="21"/>
  <c r="J378" i="21"/>
  <c r="J357" i="21"/>
  <c r="H295" i="21"/>
  <c r="H105" i="21"/>
  <c r="H107" i="21" s="1"/>
  <c r="J18" i="21"/>
  <c r="AP28" i="131" s="1"/>
  <c r="F102" i="106"/>
  <c r="F100" i="106"/>
  <c r="F98" i="106"/>
  <c r="F81" i="106"/>
  <c r="F82" i="106"/>
  <c r="F83" i="106"/>
  <c r="F84" i="106"/>
  <c r="F85" i="106"/>
  <c r="F86" i="106"/>
  <c r="F87" i="106"/>
  <c r="F88" i="106"/>
  <c r="F89" i="106"/>
  <c r="F90" i="106"/>
  <c r="F93" i="106"/>
  <c r="F94" i="106"/>
  <c r="F95" i="106"/>
  <c r="F96" i="106"/>
  <c r="F97" i="106"/>
  <c r="F103" i="106"/>
  <c r="F104" i="106"/>
  <c r="F105" i="106"/>
  <c r="F106" i="106"/>
  <c r="F107" i="106"/>
  <c r="F108" i="106"/>
  <c r="F109" i="106"/>
  <c r="F110" i="106"/>
  <c r="F111" i="106"/>
  <c r="F112" i="106"/>
  <c r="F113" i="106"/>
  <c r="F114" i="106"/>
  <c r="F80" i="106"/>
  <c r="F77" i="106"/>
  <c r="F76" i="106"/>
  <c r="F75" i="106"/>
  <c r="F74" i="106"/>
  <c r="F73" i="106"/>
  <c r="H73" i="106" s="1"/>
  <c r="F72" i="106"/>
  <c r="H72" i="106" s="1"/>
  <c r="F71" i="106"/>
  <c r="F70" i="106"/>
  <c r="F69" i="106"/>
  <c r="F68" i="106"/>
  <c r="F67" i="106"/>
  <c r="F66" i="106"/>
  <c r="F65" i="106"/>
  <c r="F64" i="106"/>
  <c r="F63" i="106"/>
  <c r="F62" i="106"/>
  <c r="F61" i="106"/>
  <c r="F60" i="106"/>
  <c r="F59" i="106"/>
  <c r="F58" i="106"/>
  <c r="F57" i="106"/>
  <c r="F56" i="106"/>
  <c r="F48" i="106"/>
  <c r="F37" i="106"/>
  <c r="F36" i="106"/>
  <c r="F33" i="106"/>
  <c r="F28" i="106"/>
  <c r="F29" i="106" s="1"/>
  <c r="F22" i="106"/>
  <c r="F21" i="106"/>
  <c r="F23" i="106" s="1"/>
  <c r="F17" i="106"/>
  <c r="F16" i="106"/>
  <c r="F12" i="106"/>
  <c r="F11" i="106"/>
  <c r="F10" i="106"/>
  <c r="F27" i="98" l="1"/>
  <c r="F21" i="79"/>
  <c r="F29" i="79" s="1"/>
  <c r="F26" i="81"/>
  <c r="F27" i="81" s="1"/>
  <c r="H7" i="81" s="1"/>
  <c r="H4" i="81" s="1"/>
  <c r="G21" i="27"/>
  <c r="G25" i="27" s="1"/>
  <c r="F16" i="98"/>
  <c r="F67" i="74"/>
  <c r="F69" i="74" s="1"/>
  <c r="F44" i="84"/>
  <c r="H88" i="21"/>
  <c r="H370" i="21"/>
  <c r="F35" i="33"/>
  <c r="H7" i="33" s="1"/>
  <c r="F40" i="74"/>
  <c r="F34" i="74"/>
  <c r="F20" i="78"/>
  <c r="F24" i="78" s="1"/>
  <c r="H7" i="78" s="1"/>
  <c r="F35" i="83"/>
  <c r="F36" i="83" s="1"/>
  <c r="H7" i="83" s="1"/>
  <c r="F19" i="86"/>
  <c r="F31" i="86" s="1"/>
  <c r="H7" i="86" s="1"/>
  <c r="F14" i="91"/>
  <c r="F29" i="93"/>
  <c r="F49" i="93" s="1"/>
  <c r="F64" i="95"/>
  <c r="F66" i="95"/>
  <c r="F94" i="95"/>
  <c r="F215" i="95" s="1"/>
  <c r="F216" i="95" s="1"/>
  <c r="H7" i="95" s="1"/>
  <c r="F118" i="95"/>
  <c r="F163" i="95"/>
  <c r="F26" i="97"/>
  <c r="H7" i="97" s="1"/>
  <c r="F20" i="121"/>
  <c r="F33" i="121"/>
  <c r="F14" i="121"/>
  <c r="F16" i="120"/>
  <c r="F28" i="120" s="1"/>
  <c r="F18" i="102"/>
  <c r="F49" i="116"/>
  <c r="H7" i="116" s="1"/>
  <c r="F124" i="106"/>
  <c r="F126" i="106" s="1"/>
  <c r="F22" i="107"/>
  <c r="F36" i="107" s="1"/>
  <c r="H7" i="107" s="1"/>
  <c r="H623" i="21"/>
  <c r="H300" i="21"/>
  <c r="H59" i="21"/>
  <c r="H178" i="21"/>
  <c r="H97" i="21"/>
  <c r="F15" i="108"/>
  <c r="H7" i="108" s="1"/>
  <c r="H124" i="106"/>
  <c r="CL58" i="131" s="1"/>
  <c r="F56" i="121"/>
  <c r="F150" i="121"/>
  <c r="F246" i="94"/>
  <c r="F21" i="94"/>
  <c r="F123" i="94"/>
  <c r="F58" i="94"/>
  <c r="F87" i="94"/>
  <c r="F18" i="106"/>
  <c r="F90" i="74"/>
  <c r="F219" i="74"/>
  <c r="F236" i="74"/>
  <c r="F248" i="74"/>
  <c r="F144" i="74"/>
  <c r="F170" i="74"/>
  <c r="F200" i="74"/>
  <c r="F38" i="106"/>
  <c r="F50" i="106" s="1"/>
  <c r="H777" i="21"/>
  <c r="H435" i="21"/>
  <c r="H669" i="21"/>
  <c r="H720" i="21"/>
  <c r="H51" i="21"/>
  <c r="H731" i="21"/>
  <c r="H570" i="21"/>
  <c r="H428" i="21"/>
  <c r="H618" i="21"/>
  <c r="H386" i="21"/>
  <c r="H317" i="21"/>
  <c r="H346" i="21"/>
  <c r="H498" i="21"/>
  <c r="H409" i="21"/>
  <c r="H513" i="21"/>
  <c r="H653" i="21"/>
  <c r="H771" i="21"/>
  <c r="H20" i="21"/>
  <c r="H27" i="21"/>
  <c r="H70" i="21"/>
  <c r="H222" i="21"/>
  <c r="H282" i="21"/>
  <c r="H487" i="21"/>
  <c r="F24" i="121"/>
  <c r="F43" i="121"/>
  <c r="F45" i="121" s="1"/>
  <c r="F184" i="121"/>
  <c r="F62" i="121"/>
  <c r="F132" i="121"/>
  <c r="F45" i="120"/>
  <c r="F49" i="87"/>
  <c r="F50" i="87" s="1"/>
  <c r="H7" i="87" s="1"/>
  <c r="F32" i="88"/>
  <c r="F33" i="88" s="1"/>
  <c r="H7" i="88" s="1"/>
  <c r="F77" i="94"/>
  <c r="F44" i="94"/>
  <c r="F46" i="94" s="1"/>
  <c r="F150" i="94"/>
  <c r="F188" i="94"/>
  <c r="F64" i="94"/>
  <c r="F216" i="94"/>
  <c r="F26" i="92"/>
  <c r="F27" i="92" s="1"/>
  <c r="H7" i="92" s="1"/>
  <c r="F25" i="106"/>
  <c r="F52" i="106" s="1"/>
  <c r="F19" i="102"/>
  <c r="F21" i="96"/>
  <c r="F23" i="96" s="1"/>
  <c r="F56" i="96"/>
  <c r="F23" i="91"/>
  <c r="F13" i="90"/>
  <c r="F23" i="90" s="1"/>
  <c r="H7" i="90" s="1"/>
  <c r="F19" i="85"/>
  <c r="H7" i="85" s="1"/>
  <c r="F28" i="98" l="1"/>
  <c r="H7" i="91"/>
  <c r="H4" i="91" s="1"/>
  <c r="J29" i="20"/>
  <c r="H7" i="102"/>
  <c r="J40" i="20"/>
  <c r="H7" i="79"/>
  <c r="H4" i="79" s="1"/>
  <c r="J17" i="20"/>
  <c r="J19" i="20"/>
  <c r="H7" i="93"/>
  <c r="H4" i="93" s="1"/>
  <c r="J31" i="20"/>
  <c r="I7" i="27"/>
  <c r="I4" i="27" s="1"/>
  <c r="J7" i="20"/>
  <c r="H7" i="98"/>
  <c r="H4" i="98" s="1"/>
  <c r="J36" i="20"/>
  <c r="F48" i="74"/>
  <c r="F92" i="74"/>
  <c r="H7" i="84"/>
  <c r="H4" i="84" s="1"/>
  <c r="J22" i="20"/>
  <c r="H733" i="21"/>
  <c r="H53" i="21"/>
  <c r="H572" i="21"/>
  <c r="H100" i="21"/>
  <c r="F271" i="74"/>
  <c r="F46" i="120"/>
  <c r="F66" i="94"/>
  <c r="F91" i="94" s="1"/>
  <c r="F84" i="121"/>
  <c r="F186" i="121"/>
  <c r="F187" i="121" s="1"/>
  <c r="H7" i="121" s="1"/>
  <c r="F253" i="94"/>
  <c r="F254" i="94" s="1"/>
  <c r="H7" i="94" s="1"/>
  <c r="F127" i="106"/>
  <c r="F57" i="96"/>
  <c r="H7" i="96" s="1"/>
  <c r="H18" i="88"/>
  <c r="BT34" i="131" s="1"/>
  <c r="BT36" i="131" s="1"/>
  <c r="C11" i="123"/>
  <c r="H77" i="106"/>
  <c r="H107" i="121"/>
  <c r="H80" i="95"/>
  <c r="H106" i="94"/>
  <c r="H158" i="74"/>
  <c r="H7" i="120" l="1"/>
  <c r="H4" i="120" s="1"/>
  <c r="J38" i="20"/>
  <c r="H4" i="102"/>
  <c r="H19" i="102"/>
  <c r="F272" i="74"/>
  <c r="H7" i="74" s="1"/>
  <c r="H4" i="74" s="1"/>
  <c r="H305" i="21"/>
  <c r="H7" i="106"/>
  <c r="H4" i="106" s="1"/>
  <c r="J44" i="20"/>
  <c r="J12" i="20"/>
  <c r="C25" i="122"/>
  <c r="H71" i="106"/>
  <c r="H120" i="121"/>
  <c r="H149" i="95"/>
  <c r="H177" i="94"/>
  <c r="H113" i="94"/>
  <c r="H190" i="74"/>
  <c r="H163" i="74"/>
  <c r="J762" i="21"/>
  <c r="J706" i="21"/>
  <c r="J646" i="21"/>
  <c r="J613" i="21"/>
  <c r="J550" i="21"/>
  <c r="J450" i="21"/>
  <c r="J7" i="21" l="1"/>
  <c r="J4" i="21" s="1"/>
  <c r="J6" i="20"/>
  <c r="J47" i="20" s="1"/>
  <c r="J424" i="21"/>
  <c r="J401" i="21"/>
  <c r="J365" i="21"/>
  <c r="J337" i="21"/>
  <c r="E14" i="121" l="1"/>
  <c r="G14" i="121"/>
  <c r="H14" i="121"/>
  <c r="E20" i="121"/>
  <c r="G20" i="121"/>
  <c r="G24" i="121" s="1"/>
  <c r="H20" i="121"/>
  <c r="H24" i="121" s="1"/>
  <c r="E33" i="121"/>
  <c r="G33" i="121"/>
  <c r="H33" i="121"/>
  <c r="E43" i="121"/>
  <c r="G43" i="121"/>
  <c r="H43" i="121"/>
  <c r="E56" i="121"/>
  <c r="G56" i="121"/>
  <c r="H56" i="121"/>
  <c r="E60" i="121"/>
  <c r="G60" i="121"/>
  <c r="H60" i="121"/>
  <c r="E66" i="121"/>
  <c r="G66" i="121"/>
  <c r="H66" i="121"/>
  <c r="E70" i="121"/>
  <c r="G70" i="121"/>
  <c r="H70" i="121"/>
  <c r="E75" i="121"/>
  <c r="G75" i="121"/>
  <c r="H75" i="121"/>
  <c r="E80" i="121"/>
  <c r="G80" i="121"/>
  <c r="G82" i="121" s="1"/>
  <c r="H80" i="121"/>
  <c r="CE34" i="131" s="1"/>
  <c r="H108" i="121"/>
  <c r="H109" i="121"/>
  <c r="E132" i="121"/>
  <c r="G132" i="121"/>
  <c r="E150" i="121"/>
  <c r="G150" i="121"/>
  <c r="H150" i="121"/>
  <c r="E184" i="121"/>
  <c r="G184" i="121"/>
  <c r="H184" i="121"/>
  <c r="C187" i="121"/>
  <c r="D187" i="121"/>
  <c r="E14" i="120"/>
  <c r="G14" i="120"/>
  <c r="G16" i="120" s="1"/>
  <c r="H14" i="120"/>
  <c r="E26" i="120"/>
  <c r="G26" i="120"/>
  <c r="G28" i="120" s="1"/>
  <c r="G46" i="120" s="1"/>
  <c r="H26" i="120"/>
  <c r="CF34" i="131" s="1"/>
  <c r="E37" i="120"/>
  <c r="G37" i="120"/>
  <c r="H37" i="120"/>
  <c r="E44" i="120"/>
  <c r="E45" i="120" s="1"/>
  <c r="G44" i="120"/>
  <c r="G45" i="120" s="1"/>
  <c r="H44" i="120"/>
  <c r="H45" i="120" s="1"/>
  <c r="C46" i="120"/>
  <c r="D46" i="120"/>
  <c r="E13" i="119"/>
  <c r="G13" i="119"/>
  <c r="H13" i="119"/>
  <c r="E19" i="119"/>
  <c r="E20" i="119" s="1"/>
  <c r="G19" i="119"/>
  <c r="G20" i="119" s="1"/>
  <c r="H19" i="119"/>
  <c r="C20" i="119"/>
  <c r="D20" i="119"/>
  <c r="E12" i="118"/>
  <c r="G12" i="118"/>
  <c r="H12" i="118"/>
  <c r="CI37" i="131" s="1"/>
  <c r="H17" i="118"/>
  <c r="CI61" i="131" s="1"/>
  <c r="E17" i="118"/>
  <c r="G17" i="118"/>
  <c r="C18" i="118"/>
  <c r="D18" i="118"/>
  <c r="E14" i="117"/>
  <c r="G14" i="117"/>
  <c r="H14" i="117"/>
  <c r="CJ37" i="131" s="1"/>
  <c r="E22" i="117"/>
  <c r="G22" i="117"/>
  <c r="H22" i="117"/>
  <c r="C23" i="117"/>
  <c r="D23" i="117"/>
  <c r="E13" i="116"/>
  <c r="G13" i="116"/>
  <c r="H13" i="116"/>
  <c r="E19" i="116"/>
  <c r="G19" i="116"/>
  <c r="H19" i="116"/>
  <c r="E23" i="116"/>
  <c r="E30" i="116" s="1"/>
  <c r="G23" i="116"/>
  <c r="H23" i="116"/>
  <c r="E28" i="116"/>
  <c r="G28" i="116"/>
  <c r="H28" i="116"/>
  <c r="CK34" i="131" s="1"/>
  <c r="E42" i="116"/>
  <c r="G42" i="116"/>
  <c r="G48" i="116" s="1"/>
  <c r="H42" i="116"/>
  <c r="E46" i="116"/>
  <c r="G46" i="116"/>
  <c r="H46" i="116"/>
  <c r="C49" i="116"/>
  <c r="D49" i="116"/>
  <c r="H18" i="74"/>
  <c r="CE27" i="131" l="1"/>
  <c r="CE36" i="131" s="1"/>
  <c r="H16" i="120"/>
  <c r="CF32" i="131"/>
  <c r="CF36" i="131"/>
  <c r="CF44" i="131"/>
  <c r="E24" i="121"/>
  <c r="E18" i="118"/>
  <c r="H30" i="116"/>
  <c r="H48" i="116"/>
  <c r="E48" i="116"/>
  <c r="E49" i="116" s="1"/>
  <c r="H45" i="121"/>
  <c r="H82" i="121"/>
  <c r="G45" i="121"/>
  <c r="E186" i="121"/>
  <c r="H20" i="119"/>
  <c r="E23" i="117"/>
  <c r="G30" i="116"/>
  <c r="G49" i="116" s="1"/>
  <c r="G23" i="117"/>
  <c r="H23" i="117" s="1"/>
  <c r="G18" i="118"/>
  <c r="H18" i="118" s="1"/>
  <c r="G186" i="121"/>
  <c r="H62" i="121"/>
  <c r="E45" i="121"/>
  <c r="G62" i="121"/>
  <c r="H132" i="121"/>
  <c r="E62" i="121"/>
  <c r="H28" i="120"/>
  <c r="H46" i="120" s="1"/>
  <c r="E16" i="120"/>
  <c r="E28" i="120" s="1"/>
  <c r="E46" i="120" s="1"/>
  <c r="C21" i="112"/>
  <c r="J754" i="21"/>
  <c r="J701" i="21"/>
  <c r="J664" i="21"/>
  <c r="J645" i="21"/>
  <c r="J611" i="21"/>
  <c r="J545" i="21"/>
  <c r="J544" i="21"/>
  <c r="J446" i="21"/>
  <c r="J381" i="21"/>
  <c r="J330" i="21"/>
  <c r="H159" i="74"/>
  <c r="H107" i="94"/>
  <c r="H81" i="95"/>
  <c r="D23" i="110"/>
  <c r="H15" i="116" s="1"/>
  <c r="CK27" i="131" s="1"/>
  <c r="H70" i="106"/>
  <c r="CL50" i="131" s="1"/>
  <c r="CL60" i="131" s="1"/>
  <c r="H82" i="95"/>
  <c r="H108" i="94"/>
  <c r="H160" i="74"/>
  <c r="J755" i="21"/>
  <c r="J702" i="21"/>
  <c r="J665" i="21"/>
  <c r="J612" i="21"/>
  <c r="J583" i="21"/>
  <c r="J546" i="21"/>
  <c r="J445" i="21"/>
  <c r="J422" i="21"/>
  <c r="J398" i="21"/>
  <c r="J382" i="21"/>
  <c r="J362" i="21"/>
  <c r="J370" i="21" s="1"/>
  <c r="AZ56" i="131" s="1"/>
  <c r="AW56" i="131" s="1"/>
  <c r="J329" i="21"/>
  <c r="J312" i="21"/>
  <c r="J317" i="21" s="1"/>
  <c r="AZ47" i="131" s="1"/>
  <c r="AW47" i="131" s="1"/>
  <c r="CK36" i="131" l="1"/>
  <c r="CK37" i="131" s="1"/>
  <c r="CF60" i="131"/>
  <c r="CF61" i="131" s="1"/>
  <c r="AW44" i="131"/>
  <c r="C13" i="131" s="1"/>
  <c r="H186" i="121"/>
  <c r="CE54" i="131"/>
  <c r="CE60" i="131" s="1"/>
  <c r="CF37" i="131"/>
  <c r="H49" i="116"/>
  <c r="H84" i="121"/>
  <c r="G84" i="121"/>
  <c r="H37" i="20" s="1"/>
  <c r="G187" i="121"/>
  <c r="E84" i="121"/>
  <c r="E187" i="121" s="1"/>
  <c r="F46" i="20"/>
  <c r="E46" i="20"/>
  <c r="D46" i="20"/>
  <c r="F45" i="20"/>
  <c r="E45" i="20"/>
  <c r="D45" i="20"/>
  <c r="H44" i="20"/>
  <c r="F44" i="20"/>
  <c r="E44" i="20"/>
  <c r="D44" i="20"/>
  <c r="I43" i="20"/>
  <c r="H43" i="20"/>
  <c r="G43" i="20"/>
  <c r="F43" i="20"/>
  <c r="E43" i="20"/>
  <c r="D43" i="20"/>
  <c r="L42" i="20"/>
  <c r="I42" i="20"/>
  <c r="H42" i="20"/>
  <c r="G42" i="20"/>
  <c r="F42" i="20"/>
  <c r="E42" i="20"/>
  <c r="D42" i="20"/>
  <c r="I41" i="20"/>
  <c r="H41" i="20"/>
  <c r="G41" i="20"/>
  <c r="F41" i="20"/>
  <c r="E41" i="20"/>
  <c r="D41" i="20"/>
  <c r="F40" i="20"/>
  <c r="E40" i="20"/>
  <c r="D40" i="20"/>
  <c r="L39" i="20"/>
  <c r="I39" i="20"/>
  <c r="H39" i="20"/>
  <c r="G39" i="20"/>
  <c r="F39" i="20"/>
  <c r="E39" i="20"/>
  <c r="D39" i="20"/>
  <c r="L38" i="20"/>
  <c r="I38" i="20"/>
  <c r="H38" i="20"/>
  <c r="G38" i="20"/>
  <c r="F38" i="20"/>
  <c r="E38" i="20"/>
  <c r="D38" i="20"/>
  <c r="I37" i="20"/>
  <c r="G37" i="20"/>
  <c r="F37" i="20"/>
  <c r="E37" i="20"/>
  <c r="D37" i="20"/>
  <c r="E36" i="20"/>
  <c r="D36" i="20"/>
  <c r="F35" i="20"/>
  <c r="E35" i="20"/>
  <c r="E34" i="20"/>
  <c r="D35" i="20"/>
  <c r="F34" i="20"/>
  <c r="D34" i="20"/>
  <c r="F33" i="20"/>
  <c r="E33" i="20"/>
  <c r="D33" i="20"/>
  <c r="F32" i="20"/>
  <c r="E32" i="20"/>
  <c r="D32" i="20"/>
  <c r="F31" i="20"/>
  <c r="E31" i="20"/>
  <c r="D31" i="20"/>
  <c r="F30" i="20"/>
  <c r="E30" i="20"/>
  <c r="D30" i="20"/>
  <c r="F29" i="20"/>
  <c r="E29" i="20"/>
  <c r="D29" i="20"/>
  <c r="F28" i="20"/>
  <c r="E28" i="20"/>
  <c r="D28" i="20"/>
  <c r="F27" i="20"/>
  <c r="E27" i="20"/>
  <c r="D27" i="20"/>
  <c r="F26" i="20"/>
  <c r="E26" i="20"/>
  <c r="D26" i="20"/>
  <c r="F25" i="20"/>
  <c r="E25" i="20"/>
  <c r="D25" i="20"/>
  <c r="F24" i="20"/>
  <c r="E24" i="20"/>
  <c r="D24" i="20"/>
  <c r="F23" i="20"/>
  <c r="E23" i="20"/>
  <c r="D23" i="20"/>
  <c r="F22" i="20"/>
  <c r="E22" i="20"/>
  <c r="D22" i="20"/>
  <c r="F21" i="20"/>
  <c r="E21" i="20"/>
  <c r="D21" i="20"/>
  <c r="F20" i="20"/>
  <c r="E20" i="20"/>
  <c r="D20" i="20"/>
  <c r="F19" i="20"/>
  <c r="E19" i="20"/>
  <c r="D19" i="20"/>
  <c r="F18" i="20"/>
  <c r="E18" i="20"/>
  <c r="D18" i="20"/>
  <c r="F17" i="20"/>
  <c r="E17" i="20"/>
  <c r="D17" i="20"/>
  <c r="F16" i="20"/>
  <c r="E16" i="20"/>
  <c r="D16" i="20"/>
  <c r="F15" i="20"/>
  <c r="E15" i="20"/>
  <c r="D15" i="20"/>
  <c r="F14" i="20"/>
  <c r="E14" i="20"/>
  <c r="D14" i="20"/>
  <c r="F13" i="20"/>
  <c r="E13" i="20"/>
  <c r="D13" i="20"/>
  <c r="F12" i="20"/>
  <c r="E12" i="20"/>
  <c r="D12" i="20"/>
  <c r="F11" i="20"/>
  <c r="E11" i="20"/>
  <c r="D11" i="20"/>
  <c r="L10" i="20"/>
  <c r="I10" i="20"/>
  <c r="F10" i="20"/>
  <c r="E10" i="20"/>
  <c r="D10" i="20"/>
  <c r="F9" i="20"/>
  <c r="E9" i="20"/>
  <c r="D9" i="20"/>
  <c r="F8" i="20"/>
  <c r="E8" i="20"/>
  <c r="D8" i="20"/>
  <c r="F7" i="20"/>
  <c r="E7" i="20"/>
  <c r="D7" i="20"/>
  <c r="F6" i="20"/>
  <c r="E6" i="20"/>
  <c r="D6" i="20"/>
  <c r="CE61" i="131" l="1"/>
  <c r="H187" i="121"/>
  <c r="CE37" i="131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C11" i="20"/>
  <c r="C10" i="20"/>
  <c r="C9" i="20"/>
  <c r="C8" i="20"/>
  <c r="C7" i="20"/>
  <c r="D15" i="108"/>
  <c r="C15" i="108"/>
  <c r="G46" i="20" s="1"/>
  <c r="H14" i="108"/>
  <c r="L46" i="20" s="1"/>
  <c r="G14" i="108"/>
  <c r="I46" i="20" s="1"/>
  <c r="E14" i="108"/>
  <c r="H10" i="108"/>
  <c r="K46" i="20" s="1"/>
  <c r="G10" i="108"/>
  <c r="E10" i="108"/>
  <c r="H37" i="107"/>
  <c r="D36" i="107"/>
  <c r="C36" i="107"/>
  <c r="G45" i="20" s="1"/>
  <c r="H33" i="107"/>
  <c r="H35" i="107" s="1"/>
  <c r="L45" i="20" s="1"/>
  <c r="G33" i="107"/>
  <c r="G35" i="107" s="1"/>
  <c r="I45" i="20" s="1"/>
  <c r="E33" i="107"/>
  <c r="E35" i="107" s="1"/>
  <c r="H20" i="107"/>
  <c r="G20" i="107"/>
  <c r="E20" i="107"/>
  <c r="H14" i="107"/>
  <c r="G14" i="107"/>
  <c r="E14" i="107"/>
  <c r="D127" i="106"/>
  <c r="C127" i="106"/>
  <c r="G44" i="20" s="1"/>
  <c r="G126" i="106"/>
  <c r="E126" i="106"/>
  <c r="H57" i="106"/>
  <c r="H48" i="106"/>
  <c r="CL34" i="131" s="1"/>
  <c r="CL36" i="131" s="1"/>
  <c r="G48" i="106"/>
  <c r="E48" i="106"/>
  <c r="H38" i="106"/>
  <c r="G38" i="106"/>
  <c r="E38" i="106"/>
  <c r="H29" i="106"/>
  <c r="G29" i="106"/>
  <c r="E29" i="106"/>
  <c r="H23" i="106"/>
  <c r="G23" i="106"/>
  <c r="E23" i="106"/>
  <c r="H18" i="106"/>
  <c r="G18" i="106"/>
  <c r="E18" i="106"/>
  <c r="L43" i="20"/>
  <c r="K42" i="20"/>
  <c r="L41" i="20"/>
  <c r="K41" i="20"/>
  <c r="D19" i="102"/>
  <c r="C19" i="102"/>
  <c r="G40" i="20" s="1"/>
  <c r="H18" i="102"/>
  <c r="G18" i="102"/>
  <c r="I40" i="20" s="1"/>
  <c r="E18" i="102"/>
  <c r="H40" i="20"/>
  <c r="E13" i="102"/>
  <c r="K39" i="20"/>
  <c r="H25" i="98"/>
  <c r="G25" i="98"/>
  <c r="E25" i="98"/>
  <c r="D25" i="98"/>
  <c r="C25" i="98"/>
  <c r="H21" i="98"/>
  <c r="G21" i="98"/>
  <c r="E21" i="98"/>
  <c r="D21" i="98"/>
  <c r="C21" i="98"/>
  <c r="H14" i="98"/>
  <c r="H16" i="98" s="1"/>
  <c r="G14" i="98"/>
  <c r="G16" i="98" s="1"/>
  <c r="E14" i="98"/>
  <c r="E16" i="98" s="1"/>
  <c r="D26" i="97"/>
  <c r="C26" i="97"/>
  <c r="G35" i="20" s="1"/>
  <c r="H23" i="97"/>
  <c r="G23" i="97"/>
  <c r="G25" i="97" s="1"/>
  <c r="I35" i="20" s="1"/>
  <c r="E23" i="97"/>
  <c r="E25" i="97" s="1"/>
  <c r="H14" i="97"/>
  <c r="H16" i="97" s="1"/>
  <c r="K35" i="20" s="1"/>
  <c r="G14" i="97"/>
  <c r="G16" i="97" s="1"/>
  <c r="H35" i="20" s="1"/>
  <c r="E14" i="97"/>
  <c r="E16" i="97" s="1"/>
  <c r="D57" i="96"/>
  <c r="C57" i="96"/>
  <c r="G34" i="20" s="1"/>
  <c r="H48" i="96"/>
  <c r="G48" i="96"/>
  <c r="E48" i="96"/>
  <c r="H34" i="96"/>
  <c r="G34" i="96"/>
  <c r="G56" i="96" s="1"/>
  <c r="I34" i="20" s="1"/>
  <c r="E34" i="96"/>
  <c r="H21" i="96"/>
  <c r="G21" i="96"/>
  <c r="E21" i="96"/>
  <c r="H13" i="96"/>
  <c r="G13" i="96"/>
  <c r="E13" i="96"/>
  <c r="D216" i="95"/>
  <c r="C216" i="95"/>
  <c r="G33" i="20" s="1"/>
  <c r="H213" i="95"/>
  <c r="G213" i="95"/>
  <c r="E213" i="95"/>
  <c r="H207" i="95"/>
  <c r="CA58" i="131" s="1"/>
  <c r="G207" i="95"/>
  <c r="E207" i="95"/>
  <c r="H187" i="95"/>
  <c r="G187" i="95"/>
  <c r="E187" i="95"/>
  <c r="G163" i="95"/>
  <c r="E163" i="95"/>
  <c r="H124" i="95"/>
  <c r="G124" i="95"/>
  <c r="E124" i="95"/>
  <c r="G118" i="95"/>
  <c r="E118" i="95"/>
  <c r="G94" i="95"/>
  <c r="E94" i="95"/>
  <c r="H59" i="95"/>
  <c r="H64" i="95" s="1"/>
  <c r="G59" i="95"/>
  <c r="G64" i="95" s="1"/>
  <c r="E59" i="95"/>
  <c r="E64" i="95" s="1"/>
  <c r="H53" i="95"/>
  <c r="G53" i="95"/>
  <c r="E53" i="95"/>
  <c r="H47" i="95"/>
  <c r="G47" i="95"/>
  <c r="E47" i="95"/>
  <c r="H42" i="95"/>
  <c r="H49" i="95" s="1"/>
  <c r="G42" i="95"/>
  <c r="E42" i="95"/>
  <c r="H27" i="95"/>
  <c r="G27" i="95"/>
  <c r="G29" i="95" s="1"/>
  <c r="E27" i="95"/>
  <c r="E29" i="95" s="1"/>
  <c r="D254" i="94"/>
  <c r="C254" i="94"/>
  <c r="G32" i="20" s="1"/>
  <c r="H251" i="94"/>
  <c r="G251" i="94"/>
  <c r="E251" i="94"/>
  <c r="H246" i="94"/>
  <c r="G246" i="94"/>
  <c r="E246" i="94"/>
  <c r="H216" i="94"/>
  <c r="BZ55" i="131" s="1"/>
  <c r="AW55" i="131" s="1"/>
  <c r="C11" i="131" s="1"/>
  <c r="G216" i="94"/>
  <c r="E216" i="94"/>
  <c r="G188" i="94"/>
  <c r="E188" i="94"/>
  <c r="G150" i="94"/>
  <c r="E150" i="94"/>
  <c r="G123" i="94"/>
  <c r="E123" i="94"/>
  <c r="H87" i="94"/>
  <c r="G87" i="94"/>
  <c r="E87" i="94"/>
  <c r="H75" i="94"/>
  <c r="G75" i="94"/>
  <c r="E75" i="94"/>
  <c r="H71" i="94"/>
  <c r="G71" i="94"/>
  <c r="E71" i="94"/>
  <c r="H64" i="94"/>
  <c r="G64" i="94"/>
  <c r="E64" i="94"/>
  <c r="H58" i="94"/>
  <c r="G58" i="94"/>
  <c r="E58" i="94"/>
  <c r="H44" i="94"/>
  <c r="G44" i="94"/>
  <c r="G46" i="94" s="1"/>
  <c r="E44" i="94"/>
  <c r="E46" i="94" s="1"/>
  <c r="H12" i="94"/>
  <c r="G12" i="94"/>
  <c r="E12" i="94"/>
  <c r="C49" i="93"/>
  <c r="G31" i="20" s="1"/>
  <c r="H42" i="93"/>
  <c r="H48" i="93" s="1"/>
  <c r="G42" i="93"/>
  <c r="G48" i="93" s="1"/>
  <c r="I31" i="20" s="1"/>
  <c r="H25" i="93"/>
  <c r="H29" i="93" s="1"/>
  <c r="G25" i="93"/>
  <c r="G29" i="93" s="1"/>
  <c r="H31" i="20" s="1"/>
  <c r="D27" i="92"/>
  <c r="C27" i="92"/>
  <c r="G30" i="20" s="1"/>
  <c r="H26" i="92"/>
  <c r="L30" i="20" s="1"/>
  <c r="G26" i="92"/>
  <c r="I30" i="20" s="1"/>
  <c r="E26" i="92"/>
  <c r="H16" i="92"/>
  <c r="G16" i="92"/>
  <c r="H30" i="20" s="1"/>
  <c r="E16" i="92"/>
  <c r="D23" i="91"/>
  <c r="C23" i="91"/>
  <c r="G29" i="20" s="1"/>
  <c r="H22" i="91"/>
  <c r="G22" i="91"/>
  <c r="I29" i="20" s="1"/>
  <c r="E22" i="91"/>
  <c r="H14" i="91"/>
  <c r="G14" i="91"/>
  <c r="H29" i="20" s="1"/>
  <c r="E14" i="91"/>
  <c r="D23" i="90"/>
  <c r="C23" i="90"/>
  <c r="G28" i="20" s="1"/>
  <c r="G22" i="90"/>
  <c r="I28" i="20" s="1"/>
  <c r="E22" i="90"/>
  <c r="H22" i="90"/>
  <c r="H13" i="90"/>
  <c r="K28" i="20" s="1"/>
  <c r="G13" i="90"/>
  <c r="E13" i="90"/>
  <c r="D19" i="89"/>
  <c r="C19" i="89"/>
  <c r="G27" i="20" s="1"/>
  <c r="G18" i="89"/>
  <c r="I27" i="20" s="1"/>
  <c r="E18" i="89"/>
  <c r="H17" i="89"/>
  <c r="H16" i="89"/>
  <c r="H14" i="89"/>
  <c r="G14" i="89"/>
  <c r="E14" i="89"/>
  <c r="E19" i="89" s="1"/>
  <c r="D33" i="88"/>
  <c r="C33" i="88"/>
  <c r="G26" i="20" s="1"/>
  <c r="H30" i="88"/>
  <c r="G30" i="88"/>
  <c r="E30" i="88"/>
  <c r="H25" i="88"/>
  <c r="G25" i="88"/>
  <c r="E25" i="88"/>
  <c r="G18" i="88"/>
  <c r="E18" i="88"/>
  <c r="H13" i="88"/>
  <c r="G13" i="88"/>
  <c r="E13" i="88"/>
  <c r="D50" i="87"/>
  <c r="C50" i="87"/>
  <c r="G25" i="20" s="1"/>
  <c r="H44" i="87"/>
  <c r="G44" i="87"/>
  <c r="E44" i="87"/>
  <c r="H39" i="87"/>
  <c r="G39" i="87"/>
  <c r="E39" i="87"/>
  <c r="G32" i="87"/>
  <c r="E32" i="87"/>
  <c r="H32" i="87"/>
  <c r="H19" i="87"/>
  <c r="G19" i="87"/>
  <c r="E19" i="87"/>
  <c r="H14" i="87"/>
  <c r="G14" i="87"/>
  <c r="E14" i="87"/>
  <c r="D31" i="86"/>
  <c r="C31" i="86"/>
  <c r="G24" i="20" s="1"/>
  <c r="H28" i="86"/>
  <c r="G28" i="86"/>
  <c r="E28" i="86"/>
  <c r="H24" i="86"/>
  <c r="G24" i="86"/>
  <c r="E24" i="86"/>
  <c r="H17" i="86"/>
  <c r="BR34" i="131" s="1"/>
  <c r="BR36" i="131" s="1"/>
  <c r="G17" i="86"/>
  <c r="E17" i="86"/>
  <c r="H13" i="86"/>
  <c r="G13" i="86"/>
  <c r="E13" i="86"/>
  <c r="D19" i="85"/>
  <c r="C19" i="85"/>
  <c r="G23" i="20" s="1"/>
  <c r="H18" i="85"/>
  <c r="G18" i="85"/>
  <c r="I23" i="20" s="1"/>
  <c r="E18" i="85"/>
  <c r="H13" i="85"/>
  <c r="H15" i="85" s="1"/>
  <c r="K23" i="20" s="1"/>
  <c r="G13" i="85"/>
  <c r="G15" i="85" s="1"/>
  <c r="H23" i="20" s="1"/>
  <c r="E13" i="85"/>
  <c r="E15" i="85" s="1"/>
  <c r="D44" i="84"/>
  <c r="C44" i="84"/>
  <c r="G22" i="20" s="1"/>
  <c r="H41" i="84"/>
  <c r="G41" i="84"/>
  <c r="E41" i="84"/>
  <c r="H37" i="84"/>
  <c r="G37" i="84"/>
  <c r="E37" i="84"/>
  <c r="H33" i="84"/>
  <c r="G33" i="84"/>
  <c r="E33" i="84"/>
  <c r="H26" i="84"/>
  <c r="BP34" i="131" s="1"/>
  <c r="BP36" i="131" s="1"/>
  <c r="G26" i="84"/>
  <c r="E26" i="84"/>
  <c r="H19" i="84"/>
  <c r="G19" i="84"/>
  <c r="E19" i="84"/>
  <c r="H15" i="84"/>
  <c r="G15" i="84"/>
  <c r="E15" i="84"/>
  <c r="E21" i="84" s="1"/>
  <c r="E28" i="84" s="1"/>
  <c r="D36" i="83"/>
  <c r="C36" i="83"/>
  <c r="G21" i="20" s="1"/>
  <c r="H33" i="83"/>
  <c r="G33" i="83"/>
  <c r="E33" i="83"/>
  <c r="H28" i="83"/>
  <c r="G28" i="83"/>
  <c r="E28" i="83"/>
  <c r="E35" i="83" s="1"/>
  <c r="H20" i="83"/>
  <c r="G20" i="83"/>
  <c r="E20" i="83"/>
  <c r="H14" i="83"/>
  <c r="G14" i="83"/>
  <c r="E14" i="83"/>
  <c r="E22" i="83" s="1"/>
  <c r="E36" i="83" s="1"/>
  <c r="D36" i="82"/>
  <c r="C36" i="82"/>
  <c r="G20" i="20" s="1"/>
  <c r="H35" i="82"/>
  <c r="G35" i="82"/>
  <c r="I20" i="20" s="1"/>
  <c r="E35" i="82"/>
  <c r="H15" i="82"/>
  <c r="H17" i="82" s="1"/>
  <c r="K20" i="20" s="1"/>
  <c r="G15" i="82"/>
  <c r="G17" i="82" s="1"/>
  <c r="E15" i="82"/>
  <c r="E17" i="82" s="1"/>
  <c r="E36" i="82" s="1"/>
  <c r="D27" i="81"/>
  <c r="C27" i="81"/>
  <c r="G19" i="20" s="1"/>
  <c r="H26" i="81"/>
  <c r="BM43" i="131" s="1"/>
  <c r="G26" i="81"/>
  <c r="I19" i="20" s="1"/>
  <c r="E26" i="81"/>
  <c r="E27" i="81" s="1"/>
  <c r="H10" i="81"/>
  <c r="BM26" i="131" s="1"/>
  <c r="G10" i="81"/>
  <c r="D21" i="80"/>
  <c r="C21" i="80"/>
  <c r="G18" i="20" s="1"/>
  <c r="H20" i="80"/>
  <c r="L18" i="20" s="1"/>
  <c r="G20" i="80"/>
  <c r="I18" i="20" s="1"/>
  <c r="E20" i="80"/>
  <c r="H11" i="80"/>
  <c r="K18" i="20" s="1"/>
  <c r="G11" i="80"/>
  <c r="E11" i="80"/>
  <c r="D29" i="79"/>
  <c r="C29" i="79"/>
  <c r="G17" i="20" s="1"/>
  <c r="H28" i="79"/>
  <c r="I17" i="20"/>
  <c r="E28" i="79"/>
  <c r="H19" i="79"/>
  <c r="BK32" i="131" s="1"/>
  <c r="G19" i="79"/>
  <c r="E19" i="79"/>
  <c r="H12" i="79"/>
  <c r="G12" i="79"/>
  <c r="E12" i="79"/>
  <c r="D24" i="78"/>
  <c r="C24" i="78"/>
  <c r="G16" i="20" s="1"/>
  <c r="H23" i="78"/>
  <c r="G23" i="78"/>
  <c r="I16" i="20" s="1"/>
  <c r="E23" i="78"/>
  <c r="H18" i="78"/>
  <c r="G18" i="78"/>
  <c r="E18" i="78"/>
  <c r="H12" i="78"/>
  <c r="BJ28" i="131" s="1"/>
  <c r="BJ36" i="131" s="1"/>
  <c r="G12" i="78"/>
  <c r="G20" i="78" s="1"/>
  <c r="E12" i="78"/>
  <c r="D29" i="77"/>
  <c r="C29" i="77"/>
  <c r="G15" i="20" s="1"/>
  <c r="H26" i="77"/>
  <c r="H28" i="77" s="1"/>
  <c r="G26" i="77"/>
  <c r="G28" i="77" s="1"/>
  <c r="I15" i="20" s="1"/>
  <c r="E26" i="77"/>
  <c r="E28" i="77" s="1"/>
  <c r="H20" i="77"/>
  <c r="G20" i="77"/>
  <c r="E20" i="77"/>
  <c r="H14" i="77"/>
  <c r="G14" i="77"/>
  <c r="E14" i="77"/>
  <c r="D36" i="76"/>
  <c r="C36" i="76"/>
  <c r="G14" i="20" s="1"/>
  <c r="L14" i="20"/>
  <c r="G35" i="76"/>
  <c r="I14" i="20" s="1"/>
  <c r="E35" i="76"/>
  <c r="H26" i="76"/>
  <c r="G26" i="76"/>
  <c r="E26" i="76"/>
  <c r="H20" i="76"/>
  <c r="G20" i="76"/>
  <c r="E20" i="76"/>
  <c r="H13" i="76"/>
  <c r="G13" i="76"/>
  <c r="E13" i="76"/>
  <c r="H29" i="75"/>
  <c r="D30" i="75"/>
  <c r="C30" i="75"/>
  <c r="G13" i="20" s="1"/>
  <c r="G29" i="75"/>
  <c r="I13" i="20" s="1"/>
  <c r="E29" i="75"/>
  <c r="H19" i="75"/>
  <c r="H21" i="75" s="1"/>
  <c r="G19" i="75"/>
  <c r="G21" i="75" s="1"/>
  <c r="G23" i="75" s="1"/>
  <c r="E19" i="75"/>
  <c r="E21" i="75" s="1"/>
  <c r="H13" i="75"/>
  <c r="G13" i="75"/>
  <c r="E13" i="75"/>
  <c r="D272" i="74"/>
  <c r="C272" i="74"/>
  <c r="G12" i="20" s="1"/>
  <c r="G248" i="74"/>
  <c r="E248" i="74"/>
  <c r="G236" i="74"/>
  <c r="E236" i="74"/>
  <c r="G219" i="74"/>
  <c r="E219" i="74"/>
  <c r="H204" i="74"/>
  <c r="G204" i="74"/>
  <c r="E204" i="74"/>
  <c r="G200" i="74"/>
  <c r="E200" i="74"/>
  <c r="G170" i="74"/>
  <c r="E170" i="74"/>
  <c r="G144" i="74"/>
  <c r="E144" i="74"/>
  <c r="E133" i="74"/>
  <c r="G88" i="74"/>
  <c r="E88" i="74"/>
  <c r="H75" i="74"/>
  <c r="G75" i="74"/>
  <c r="E75" i="74"/>
  <c r="H67" i="74"/>
  <c r="G67" i="74"/>
  <c r="E67" i="74"/>
  <c r="E69" i="74" s="1"/>
  <c r="H59" i="74"/>
  <c r="G59" i="74"/>
  <c r="E59" i="74"/>
  <c r="H46" i="74"/>
  <c r="G46" i="74"/>
  <c r="E46" i="74"/>
  <c r="H40" i="74"/>
  <c r="G40" i="74"/>
  <c r="E40" i="74"/>
  <c r="H34" i="74"/>
  <c r="G34" i="74"/>
  <c r="E34" i="74"/>
  <c r="G18" i="74"/>
  <c r="E18" i="74"/>
  <c r="H14" i="74"/>
  <c r="H48" i="74" s="1"/>
  <c r="G14" i="74"/>
  <c r="E14" i="74"/>
  <c r="D35" i="33"/>
  <c r="C35" i="33"/>
  <c r="G11" i="20" s="1"/>
  <c r="G34" i="33"/>
  <c r="I11" i="20" s="1"/>
  <c r="E34" i="33"/>
  <c r="H29" i="33"/>
  <c r="H28" i="33"/>
  <c r="H27" i="33"/>
  <c r="H17" i="33"/>
  <c r="G17" i="33"/>
  <c r="H11" i="20" s="1"/>
  <c r="E17" i="33"/>
  <c r="D48" i="31"/>
  <c r="C48" i="31"/>
  <c r="G10" i="20" s="1"/>
  <c r="E47" i="31"/>
  <c r="H25" i="31"/>
  <c r="G25" i="31"/>
  <c r="E25" i="31"/>
  <c r="H20" i="31"/>
  <c r="H27" i="31" s="1"/>
  <c r="G20" i="31"/>
  <c r="G27" i="31" s="1"/>
  <c r="G32" i="31" s="1"/>
  <c r="E20" i="31"/>
  <c r="E27" i="31" s="1"/>
  <c r="H14" i="31"/>
  <c r="G14" i="31"/>
  <c r="E14" i="31"/>
  <c r="D28" i="29"/>
  <c r="C28" i="29"/>
  <c r="G9" i="20" s="1"/>
  <c r="H27" i="29"/>
  <c r="L9" i="20" s="1"/>
  <c r="G27" i="29"/>
  <c r="I9" i="20" s="1"/>
  <c r="E27" i="29"/>
  <c r="H20" i="29"/>
  <c r="BC34" i="131" s="1"/>
  <c r="BC36" i="131" s="1"/>
  <c r="G20" i="29"/>
  <c r="E20" i="29"/>
  <c r="H13" i="29"/>
  <c r="H15" i="29" s="1"/>
  <c r="G13" i="29"/>
  <c r="G15" i="29" s="1"/>
  <c r="E13" i="29"/>
  <c r="E15" i="29" s="1"/>
  <c r="D25" i="27"/>
  <c r="C25" i="27"/>
  <c r="G7" i="20" s="1"/>
  <c r="I24" i="27"/>
  <c r="H24" i="27"/>
  <c r="I7" i="20" s="1"/>
  <c r="E24" i="27"/>
  <c r="I19" i="27"/>
  <c r="BA34" i="131" s="1"/>
  <c r="BA36" i="131" s="1"/>
  <c r="H19" i="27"/>
  <c r="E19" i="27"/>
  <c r="I13" i="27"/>
  <c r="I15" i="27" s="1"/>
  <c r="H13" i="27"/>
  <c r="H15" i="27" s="1"/>
  <c r="E13" i="27"/>
  <c r="E15" i="27" s="1"/>
  <c r="H29" i="95" l="1"/>
  <c r="H66" i="95" s="1"/>
  <c r="CA27" i="131"/>
  <c r="CA36" i="131" s="1"/>
  <c r="H46" i="94"/>
  <c r="BZ27" i="131"/>
  <c r="BZ36" i="131" s="1"/>
  <c r="BK28" i="131"/>
  <c r="AP26" i="131"/>
  <c r="AP32" i="131"/>
  <c r="BI28" i="131"/>
  <c r="BI36" i="131" s="1"/>
  <c r="AP31" i="131"/>
  <c r="BF28" i="131"/>
  <c r="BF36" i="131" s="1"/>
  <c r="AW43" i="131"/>
  <c r="BM60" i="131"/>
  <c r="BM61" i="131" s="1"/>
  <c r="BM36" i="131"/>
  <c r="BM37" i="131" s="1"/>
  <c r="K29" i="20"/>
  <c r="AP30" i="131"/>
  <c r="BW37" i="131"/>
  <c r="L40" i="20"/>
  <c r="AQ65" i="131"/>
  <c r="CH61" i="131"/>
  <c r="L20" i="20"/>
  <c r="BN61" i="131"/>
  <c r="K36" i="20"/>
  <c r="CD37" i="131"/>
  <c r="H34" i="87"/>
  <c r="K25" i="20" s="1"/>
  <c r="BS34" i="131"/>
  <c r="BS36" i="131" s="1"/>
  <c r="L23" i="20"/>
  <c r="BQ61" i="131"/>
  <c r="K27" i="20"/>
  <c r="BU37" i="131"/>
  <c r="K31" i="20"/>
  <c r="BY37" i="131"/>
  <c r="H25" i="97"/>
  <c r="L35" i="20" s="1"/>
  <c r="CC58" i="131"/>
  <c r="CC60" i="131" s="1"/>
  <c r="L15" i="20"/>
  <c r="BI61" i="131"/>
  <c r="L13" i="20"/>
  <c r="BG58" i="131"/>
  <c r="K30" i="20"/>
  <c r="BX37" i="131"/>
  <c r="BC37" i="131"/>
  <c r="L28" i="20"/>
  <c r="BV61" i="131"/>
  <c r="L31" i="20"/>
  <c r="BY61" i="131"/>
  <c r="K11" i="20"/>
  <c r="BE37" i="131"/>
  <c r="L16" i="20"/>
  <c r="BJ61" i="131"/>
  <c r="K40" i="20"/>
  <c r="CH37" i="131"/>
  <c r="L7" i="20"/>
  <c r="BA61" i="131"/>
  <c r="L29" i="20"/>
  <c r="BW61" i="131"/>
  <c r="BK36" i="131"/>
  <c r="L17" i="20"/>
  <c r="BK58" i="131"/>
  <c r="L19" i="20"/>
  <c r="K19" i="20"/>
  <c r="E35" i="33"/>
  <c r="E271" i="74"/>
  <c r="G271" i="74"/>
  <c r="I12" i="20" s="1"/>
  <c r="G22" i="83"/>
  <c r="H21" i="20" s="1"/>
  <c r="E34" i="87"/>
  <c r="E50" i="87" s="1"/>
  <c r="H49" i="87"/>
  <c r="L25" i="20" s="1"/>
  <c r="G49" i="87"/>
  <c r="I25" i="20" s="1"/>
  <c r="H18" i="89"/>
  <c r="L27" i="20" s="1"/>
  <c r="H66" i="94"/>
  <c r="E66" i="94"/>
  <c r="G15" i="108"/>
  <c r="H46" i="20"/>
  <c r="H50" i="106"/>
  <c r="E19" i="102"/>
  <c r="C27" i="98"/>
  <c r="H36" i="20"/>
  <c r="D27" i="98"/>
  <c r="D28" i="98" s="1"/>
  <c r="E27" i="98"/>
  <c r="E28" i="98" s="1"/>
  <c r="G27" i="98"/>
  <c r="I36" i="20" s="1"/>
  <c r="E23" i="96"/>
  <c r="H23" i="96"/>
  <c r="E49" i="95"/>
  <c r="E215" i="95"/>
  <c r="E77" i="94"/>
  <c r="E91" i="94" s="1"/>
  <c r="G23" i="90"/>
  <c r="H28" i="20"/>
  <c r="G20" i="88"/>
  <c r="H26" i="20" s="1"/>
  <c r="G32" i="88"/>
  <c r="I26" i="20" s="1"/>
  <c r="H32" i="88"/>
  <c r="L26" i="20" s="1"/>
  <c r="G19" i="86"/>
  <c r="H24" i="20" s="1"/>
  <c r="E19" i="85"/>
  <c r="G43" i="84"/>
  <c r="I22" i="20" s="1"/>
  <c r="G36" i="82"/>
  <c r="H20" i="20"/>
  <c r="G27" i="81"/>
  <c r="H19" i="20"/>
  <c r="E21" i="80"/>
  <c r="G21" i="80"/>
  <c r="H18" i="20"/>
  <c r="G22" i="77"/>
  <c r="H15" i="20" s="1"/>
  <c r="H22" i="77"/>
  <c r="K15" i="20" s="1"/>
  <c r="G30" i="75"/>
  <c r="H13" i="20"/>
  <c r="H236" i="74"/>
  <c r="H248" i="74"/>
  <c r="G48" i="31"/>
  <c r="H10" i="20"/>
  <c r="G127" i="106"/>
  <c r="I44" i="20"/>
  <c r="H36" i="82"/>
  <c r="M20" i="20" s="1"/>
  <c r="G19" i="89"/>
  <c r="H27" i="20"/>
  <c r="E22" i="107"/>
  <c r="E36" i="107" s="1"/>
  <c r="G22" i="107"/>
  <c r="H45" i="20" s="1"/>
  <c r="E15" i="108"/>
  <c r="G25" i="106"/>
  <c r="E50" i="106"/>
  <c r="H25" i="106"/>
  <c r="H22" i="107"/>
  <c r="K45" i="20" s="1"/>
  <c r="H126" i="106"/>
  <c r="E25" i="106"/>
  <c r="G50" i="106"/>
  <c r="K43" i="20"/>
  <c r="M42" i="20"/>
  <c r="M41" i="20"/>
  <c r="G19" i="102"/>
  <c r="M39" i="20"/>
  <c r="K37" i="20"/>
  <c r="E26" i="97"/>
  <c r="G26" i="97"/>
  <c r="H56" i="96"/>
  <c r="L34" i="20" s="1"/>
  <c r="E56" i="96"/>
  <c r="H163" i="95"/>
  <c r="G215" i="95"/>
  <c r="I33" i="20" s="1"/>
  <c r="G49" i="95"/>
  <c r="G23" i="96"/>
  <c r="H34" i="20" s="1"/>
  <c r="E57" i="96"/>
  <c r="H118" i="95"/>
  <c r="E66" i="95"/>
  <c r="H94" i="95"/>
  <c r="G77" i="94"/>
  <c r="G66" i="94"/>
  <c r="G253" i="94"/>
  <c r="I32" i="20" s="1"/>
  <c r="G66" i="95"/>
  <c r="E253" i="94"/>
  <c r="H123" i="94"/>
  <c r="H150" i="94"/>
  <c r="H77" i="94"/>
  <c r="H188" i="94"/>
  <c r="G91" i="94"/>
  <c r="G49" i="93"/>
  <c r="E27" i="92"/>
  <c r="E23" i="91"/>
  <c r="G23" i="91"/>
  <c r="G27" i="92"/>
  <c r="E23" i="90"/>
  <c r="H20" i="88"/>
  <c r="E32" i="88"/>
  <c r="G33" i="88"/>
  <c r="E20" i="88"/>
  <c r="E19" i="86"/>
  <c r="G34" i="87"/>
  <c r="G30" i="86"/>
  <c r="H30" i="86"/>
  <c r="L24" i="20" s="1"/>
  <c r="H19" i="86"/>
  <c r="K24" i="20" s="1"/>
  <c r="E30" i="86"/>
  <c r="G19" i="85"/>
  <c r="H21" i="84"/>
  <c r="H28" i="84" s="1"/>
  <c r="K22" i="20" s="1"/>
  <c r="H22" i="83"/>
  <c r="H43" i="84"/>
  <c r="E43" i="84"/>
  <c r="E44" i="84" s="1"/>
  <c r="G21" i="84"/>
  <c r="G28" i="84"/>
  <c r="G35" i="83"/>
  <c r="I21" i="20" s="1"/>
  <c r="H35" i="83"/>
  <c r="L21" i="20" s="1"/>
  <c r="E21" i="79"/>
  <c r="E29" i="79" s="1"/>
  <c r="G21" i="79"/>
  <c r="H17" i="20" s="1"/>
  <c r="H21" i="79"/>
  <c r="K17" i="20" s="1"/>
  <c r="E20" i="78"/>
  <c r="E24" i="78" s="1"/>
  <c r="H20" i="78"/>
  <c r="K16" i="20" s="1"/>
  <c r="G29" i="77"/>
  <c r="E22" i="77"/>
  <c r="E29" i="77" s="1"/>
  <c r="G28" i="76"/>
  <c r="E28" i="76"/>
  <c r="E36" i="76" s="1"/>
  <c r="H28" i="76"/>
  <c r="K14" i="20" s="1"/>
  <c r="H23" i="75"/>
  <c r="K13" i="20" s="1"/>
  <c r="E23" i="75"/>
  <c r="E30" i="75" s="1"/>
  <c r="H144" i="74"/>
  <c r="H170" i="74"/>
  <c r="G69" i="74"/>
  <c r="H200" i="74"/>
  <c r="E90" i="74"/>
  <c r="E92" i="74" s="1"/>
  <c r="G48" i="74"/>
  <c r="G90" i="74"/>
  <c r="H219" i="74"/>
  <c r="H69" i="74"/>
  <c r="E48" i="74"/>
  <c r="H90" i="74"/>
  <c r="L11" i="20"/>
  <c r="G35" i="33"/>
  <c r="E32" i="31"/>
  <c r="E48" i="31" s="1"/>
  <c r="H32" i="31"/>
  <c r="BD37" i="131" s="1"/>
  <c r="H22" i="29"/>
  <c r="K9" i="20" s="1"/>
  <c r="G22" i="29"/>
  <c r="I21" i="27"/>
  <c r="K7" i="20" s="1"/>
  <c r="E22" i="29"/>
  <c r="E28" i="29" s="1"/>
  <c r="H21" i="27"/>
  <c r="E21" i="27"/>
  <c r="E25" i="27" s="1"/>
  <c r="D26" i="25"/>
  <c r="C26" i="25"/>
  <c r="G8" i="20" s="1"/>
  <c r="H25" i="25"/>
  <c r="G25" i="25"/>
  <c r="I8" i="20" s="1"/>
  <c r="E25" i="25"/>
  <c r="H20" i="25"/>
  <c r="BB34" i="131" s="1"/>
  <c r="BB36" i="131" s="1"/>
  <c r="G20" i="25"/>
  <c r="E20" i="25"/>
  <c r="H13" i="25"/>
  <c r="H15" i="25" s="1"/>
  <c r="G13" i="25"/>
  <c r="G15" i="25" s="1"/>
  <c r="E13" i="25"/>
  <c r="E15" i="25" s="1"/>
  <c r="D803" i="21"/>
  <c r="C803" i="21"/>
  <c r="G6" i="20" s="1"/>
  <c r="J777" i="21"/>
  <c r="I777" i="21"/>
  <c r="E777" i="21"/>
  <c r="I771" i="21"/>
  <c r="E771" i="21"/>
  <c r="J737" i="21"/>
  <c r="I737" i="21"/>
  <c r="E737" i="21"/>
  <c r="E731" i="21"/>
  <c r="I720" i="21"/>
  <c r="E720" i="21"/>
  <c r="J677" i="21"/>
  <c r="I677" i="21"/>
  <c r="E677" i="21"/>
  <c r="J673" i="21"/>
  <c r="I673" i="21"/>
  <c r="E673" i="21"/>
  <c r="I669" i="21"/>
  <c r="E669" i="21"/>
  <c r="I653" i="21"/>
  <c r="E653" i="21"/>
  <c r="J623" i="21"/>
  <c r="I623" i="21"/>
  <c r="E623" i="21"/>
  <c r="I618" i="21"/>
  <c r="E618" i="21"/>
  <c r="J591" i="21"/>
  <c r="I591" i="21"/>
  <c r="I593" i="21" s="1"/>
  <c r="E591" i="21"/>
  <c r="D572" i="21"/>
  <c r="C572" i="21"/>
  <c r="I570" i="21"/>
  <c r="E570" i="21"/>
  <c r="J556" i="21"/>
  <c r="J553" i="21"/>
  <c r="J547" i="21"/>
  <c r="J540" i="21"/>
  <c r="I513" i="21"/>
  <c r="E513" i="21"/>
  <c r="I498" i="21"/>
  <c r="E498" i="21"/>
  <c r="I487" i="21"/>
  <c r="E487" i="21"/>
  <c r="J481" i="21"/>
  <c r="J487" i="21" s="1"/>
  <c r="J435" i="21"/>
  <c r="AZ46" i="131" s="1"/>
  <c r="AW46" i="131" s="1"/>
  <c r="I435" i="21"/>
  <c r="E435" i="21"/>
  <c r="I428" i="21"/>
  <c r="E428" i="21"/>
  <c r="I409" i="21"/>
  <c r="E409" i="21"/>
  <c r="I386" i="21"/>
  <c r="E386" i="21"/>
  <c r="I346" i="21"/>
  <c r="E346" i="21"/>
  <c r="J300" i="21"/>
  <c r="I300" i="21"/>
  <c r="E300" i="21"/>
  <c r="I295" i="21"/>
  <c r="E295" i="21"/>
  <c r="J295" i="21"/>
  <c r="AZ34" i="131" s="1"/>
  <c r="J282" i="21"/>
  <c r="I282" i="21"/>
  <c r="E282" i="21"/>
  <c r="J222" i="21"/>
  <c r="AZ33" i="131" s="1"/>
  <c r="AW33" i="131" s="1"/>
  <c r="I222" i="21"/>
  <c r="E222" i="21"/>
  <c r="J178" i="21"/>
  <c r="AZ27" i="131" s="1"/>
  <c r="AW27" i="131" s="1"/>
  <c r="F7" i="131" s="1"/>
  <c r="I178" i="21"/>
  <c r="E178" i="21"/>
  <c r="J105" i="21"/>
  <c r="J107" i="21" s="1"/>
  <c r="I105" i="21"/>
  <c r="I107" i="21" s="1"/>
  <c r="E105" i="21"/>
  <c r="E107" i="21" s="1"/>
  <c r="J97" i="21"/>
  <c r="I97" i="21"/>
  <c r="E97" i="21"/>
  <c r="J70" i="21"/>
  <c r="I70" i="21"/>
  <c r="E70" i="21"/>
  <c r="J59" i="21"/>
  <c r="AZ26" i="131" s="1"/>
  <c r="AW26" i="131" s="1"/>
  <c r="F5" i="131" s="1"/>
  <c r="I59" i="21"/>
  <c r="E59" i="21"/>
  <c r="J51" i="21"/>
  <c r="I51" i="21"/>
  <c r="E51" i="21"/>
  <c r="J27" i="21"/>
  <c r="I27" i="21"/>
  <c r="E27" i="21"/>
  <c r="I20" i="21"/>
  <c r="E20" i="21"/>
  <c r="D2218" i="3"/>
  <c r="E2218" i="3"/>
  <c r="F2218" i="3"/>
  <c r="G2218" i="3"/>
  <c r="C2218" i="3"/>
  <c r="D2222" i="3"/>
  <c r="E2222" i="3"/>
  <c r="F2222" i="3"/>
  <c r="G2222" i="3"/>
  <c r="C2222" i="3"/>
  <c r="G2204" i="3"/>
  <c r="G2224" i="3"/>
  <c r="D2224" i="3"/>
  <c r="E2224" i="3"/>
  <c r="F2224" i="3"/>
  <c r="G2223" i="3"/>
  <c r="C2224" i="3"/>
  <c r="C2202" i="3"/>
  <c r="G2180" i="3"/>
  <c r="G2158" i="3"/>
  <c r="G1574" i="3"/>
  <c r="G1573" i="3"/>
  <c r="G680" i="3"/>
  <c r="H91" i="94" l="1"/>
  <c r="K32" i="20" s="1"/>
  <c r="AZ32" i="131"/>
  <c r="AW32" i="131" s="1"/>
  <c r="AZ50" i="131"/>
  <c r="AW50" i="131" s="1"/>
  <c r="AP33" i="131"/>
  <c r="AZ28" i="131"/>
  <c r="AZ36" i="131" s="1"/>
  <c r="BJ37" i="131"/>
  <c r="AW28" i="131"/>
  <c r="F9" i="131" s="1"/>
  <c r="AP35" i="131"/>
  <c r="AO30" i="131" s="1"/>
  <c r="BA37" i="131"/>
  <c r="BS37" i="131"/>
  <c r="AQ70" i="131"/>
  <c r="AR65" i="131"/>
  <c r="CA54" i="131"/>
  <c r="CA60" i="131" s="1"/>
  <c r="BZ54" i="131"/>
  <c r="BZ60" i="131" s="1"/>
  <c r="BF54" i="131"/>
  <c r="AW34" i="131"/>
  <c r="BG60" i="131"/>
  <c r="BG61" i="131" s="1"/>
  <c r="AW58" i="131"/>
  <c r="L22" i="20"/>
  <c r="BP61" i="131"/>
  <c r="K21" i="20"/>
  <c r="BO37" i="131"/>
  <c r="K33" i="20"/>
  <c r="CA37" i="131"/>
  <c r="L44" i="20"/>
  <c r="CL61" i="131"/>
  <c r="BP37" i="131"/>
  <c r="K34" i="20"/>
  <c r="CB37" i="131"/>
  <c r="K26" i="20"/>
  <c r="BT37" i="131"/>
  <c r="BZ37" i="131"/>
  <c r="BR37" i="131"/>
  <c r="L8" i="20"/>
  <c r="BB61" i="131"/>
  <c r="CC61" i="131"/>
  <c r="BK60" i="131"/>
  <c r="BK61" i="131" s="1"/>
  <c r="BK37" i="131"/>
  <c r="H271" i="74"/>
  <c r="I733" i="21"/>
  <c r="I53" i="21"/>
  <c r="J53" i="21"/>
  <c r="AZ29" i="131" s="1"/>
  <c r="AW29" i="131" s="1"/>
  <c r="G29" i="79"/>
  <c r="E31" i="86"/>
  <c r="E216" i="95"/>
  <c r="E733" i="21"/>
  <c r="H52" i="106"/>
  <c r="E100" i="21"/>
  <c r="E53" i="21"/>
  <c r="E254" i="94"/>
  <c r="H15" i="108"/>
  <c r="M46" i="20" s="1"/>
  <c r="G36" i="107"/>
  <c r="E52" i="106"/>
  <c r="E127" i="106" s="1"/>
  <c r="M40" i="20"/>
  <c r="G28" i="98"/>
  <c r="F36" i="20"/>
  <c r="L36" i="20"/>
  <c r="C28" i="98"/>
  <c r="G36" i="20" s="1"/>
  <c r="H26" i="97"/>
  <c r="M35" i="20" s="1"/>
  <c r="G57" i="96"/>
  <c r="G216" i="95"/>
  <c r="H33" i="20"/>
  <c r="G254" i="94"/>
  <c r="H32" i="20"/>
  <c r="H49" i="93"/>
  <c r="M31" i="20" s="1"/>
  <c r="H27" i="92"/>
  <c r="M30" i="20" s="1"/>
  <c r="H23" i="91"/>
  <c r="M29" i="20" s="1"/>
  <c r="H23" i="90"/>
  <c r="M28" i="20" s="1"/>
  <c r="G50" i="87"/>
  <c r="H25" i="20"/>
  <c r="G31" i="86"/>
  <c r="I24" i="20"/>
  <c r="G44" i="84"/>
  <c r="H22" i="20"/>
  <c r="H27" i="81"/>
  <c r="M19" i="20" s="1"/>
  <c r="H21" i="80"/>
  <c r="M18" i="20" s="1"/>
  <c r="G24" i="78"/>
  <c r="H16" i="20"/>
  <c r="H29" i="77"/>
  <c r="M15" i="20" s="1"/>
  <c r="G36" i="76"/>
  <c r="H14" i="20"/>
  <c r="H30" i="75"/>
  <c r="M13" i="20" s="1"/>
  <c r="H48" i="31"/>
  <c r="M10" i="20" s="1"/>
  <c r="G28" i="29"/>
  <c r="H9" i="20"/>
  <c r="E22" i="25"/>
  <c r="H25" i="27"/>
  <c r="H7" i="20"/>
  <c r="J20" i="21"/>
  <c r="J669" i="21"/>
  <c r="AZ54" i="131" s="1"/>
  <c r="I572" i="21"/>
  <c r="H33" i="88"/>
  <c r="M26" i="20" s="1"/>
  <c r="H35" i="33"/>
  <c r="M11" i="20" s="1"/>
  <c r="K10" i="20"/>
  <c r="H22" i="25"/>
  <c r="H253" i="94"/>
  <c r="L32" i="20" s="1"/>
  <c r="H19" i="89"/>
  <c r="M27" i="20" s="1"/>
  <c r="H19" i="85"/>
  <c r="M23" i="20" s="1"/>
  <c r="M43" i="20"/>
  <c r="H215" i="95"/>
  <c r="E33" i="88"/>
  <c r="G36" i="83"/>
  <c r="H29" i="79"/>
  <c r="M17" i="20" s="1"/>
  <c r="G92" i="74"/>
  <c r="H92" i="74"/>
  <c r="E272" i="74"/>
  <c r="E26" i="25"/>
  <c r="G22" i="25"/>
  <c r="J771" i="21"/>
  <c r="E572" i="21"/>
  <c r="J346" i="21"/>
  <c r="AZ49" i="131" s="1"/>
  <c r="AW49" i="131" s="1"/>
  <c r="J498" i="21"/>
  <c r="J513" i="21"/>
  <c r="J570" i="21"/>
  <c r="J653" i="21"/>
  <c r="AZ48" i="131" s="1"/>
  <c r="AW48" i="131" s="1"/>
  <c r="J386" i="21"/>
  <c r="AZ42" i="131" s="1"/>
  <c r="AW42" i="131" s="1"/>
  <c r="J409" i="21"/>
  <c r="AZ45" i="131" s="1"/>
  <c r="J428" i="21"/>
  <c r="AZ57" i="131" s="1"/>
  <c r="AW57" i="131" s="1"/>
  <c r="J618" i="21"/>
  <c r="J720" i="21"/>
  <c r="AZ51" i="131" s="1"/>
  <c r="AW51" i="131" s="1"/>
  <c r="I100" i="21"/>
  <c r="I305" i="21" s="1"/>
  <c r="H6" i="20" s="1"/>
  <c r="J593" i="21"/>
  <c r="E305" i="21"/>
  <c r="G1821" i="3"/>
  <c r="AO27" i="131" l="1"/>
  <c r="AO29" i="131"/>
  <c r="AO31" i="131"/>
  <c r="AO33" i="131"/>
  <c r="AO34" i="131"/>
  <c r="AO26" i="131"/>
  <c r="AO32" i="131"/>
  <c r="C7" i="131"/>
  <c r="AO28" i="131"/>
  <c r="AR69" i="131"/>
  <c r="AR68" i="131"/>
  <c r="AR63" i="131"/>
  <c r="AR67" i="131"/>
  <c r="AR64" i="131"/>
  <c r="AR66" i="131"/>
  <c r="AW35" i="131"/>
  <c r="AV33" i="131" s="1"/>
  <c r="AW54" i="131"/>
  <c r="BF60" i="131"/>
  <c r="BF61" i="131" s="1"/>
  <c r="AZ52" i="131"/>
  <c r="AW52" i="131" s="1"/>
  <c r="AW45" i="131"/>
  <c r="K8" i="20"/>
  <c r="H26" i="25"/>
  <c r="L12" i="20"/>
  <c r="BB37" i="131"/>
  <c r="L33" i="20"/>
  <c r="CA61" i="131"/>
  <c r="K44" i="20"/>
  <c r="CL37" i="131"/>
  <c r="K12" i="20"/>
  <c r="BF37" i="131"/>
  <c r="BZ61" i="131"/>
  <c r="I802" i="21"/>
  <c r="I6" i="20" s="1"/>
  <c r="J733" i="21"/>
  <c r="E802" i="21"/>
  <c r="E803" i="21" s="1"/>
  <c r="H127" i="106"/>
  <c r="M44" i="20" s="1"/>
  <c r="J305" i="21"/>
  <c r="AZ37" i="131" s="1"/>
  <c r="H36" i="107"/>
  <c r="M45" i="20" s="1"/>
  <c r="H28" i="98"/>
  <c r="M36" i="20" s="1"/>
  <c r="H57" i="96"/>
  <c r="M34" i="20" s="1"/>
  <c r="H216" i="95"/>
  <c r="M33" i="20" s="1"/>
  <c r="H50" i="87"/>
  <c r="M25" i="20" s="1"/>
  <c r="H31" i="86"/>
  <c r="M24" i="20" s="1"/>
  <c r="H44" i="84"/>
  <c r="M22" i="20" s="1"/>
  <c r="H36" i="83"/>
  <c r="M21" i="20" s="1"/>
  <c r="H24" i="78"/>
  <c r="M16" i="20" s="1"/>
  <c r="H36" i="76"/>
  <c r="M14" i="20" s="1"/>
  <c r="G272" i="74"/>
  <c r="H12" i="20"/>
  <c r="H28" i="29"/>
  <c r="M9" i="20" s="1"/>
  <c r="G26" i="25"/>
  <c r="H8" i="20"/>
  <c r="I25" i="27"/>
  <c r="M7" i="20" s="1"/>
  <c r="J572" i="21"/>
  <c r="AZ53" i="131" s="1"/>
  <c r="AW53" i="131" s="1"/>
  <c r="H254" i="94"/>
  <c r="M32" i="20" s="1"/>
  <c r="J802" i="21"/>
  <c r="G552" i="3"/>
  <c r="G549" i="3"/>
  <c r="AV32" i="131" l="1"/>
  <c r="AV28" i="131"/>
  <c r="AV27" i="131"/>
  <c r="AV34" i="131"/>
  <c r="AV26" i="131"/>
  <c r="AV29" i="131"/>
  <c r="C5" i="131"/>
  <c r="AV31" i="131"/>
  <c r="AV30" i="131"/>
  <c r="AW60" i="131"/>
  <c r="C9" i="131" s="1"/>
  <c r="AZ60" i="131"/>
  <c r="AZ61" i="131" s="1"/>
  <c r="L6" i="20"/>
  <c r="I803" i="21"/>
  <c r="K6" i="20"/>
  <c r="J803" i="21"/>
  <c r="M6" i="20" s="1"/>
  <c r="H272" i="74"/>
  <c r="M12" i="20" s="1"/>
  <c r="M8" i="20"/>
  <c r="G1003" i="3"/>
  <c r="G778" i="3"/>
  <c r="G777" i="3"/>
  <c r="G776" i="3"/>
  <c r="AV58" i="131" l="1"/>
  <c r="AV62" i="131" s="1"/>
  <c r="AV45" i="131"/>
  <c r="AV71" i="131" s="1"/>
  <c r="AV43" i="131"/>
  <c r="AV69" i="131" s="1"/>
  <c r="AV55" i="131"/>
  <c r="AV61" i="131" s="1"/>
  <c r="AV50" i="131"/>
  <c r="AV67" i="131" s="1"/>
  <c r="AV57" i="131"/>
  <c r="AV74" i="131" s="1"/>
  <c r="AV47" i="131"/>
  <c r="AV77" i="131" s="1"/>
  <c r="AV51" i="131"/>
  <c r="AV66" i="131" s="1"/>
  <c r="AV54" i="131"/>
  <c r="AV63" i="131" s="1"/>
  <c r="AV46" i="131"/>
  <c r="AV76" i="131" s="1"/>
  <c r="AV52" i="131"/>
  <c r="AV68" i="131" s="1"/>
  <c r="AV49" i="131"/>
  <c r="AV70" i="131" s="1"/>
  <c r="AV44" i="131"/>
  <c r="AV65" i="131" s="1"/>
  <c r="AV48" i="131"/>
  <c r="AV75" i="131" s="1"/>
  <c r="AV56" i="131"/>
  <c r="AV72" i="131" s="1"/>
  <c r="AV42" i="131"/>
  <c r="AV73" i="131" s="1"/>
  <c r="AV53" i="131"/>
  <c r="AV64" i="131" s="1"/>
  <c r="G1513" i="3"/>
  <c r="G1586" i="3" s="1"/>
  <c r="G1514" i="3"/>
  <c r="G1214" i="3" s="1"/>
  <c r="G1515" i="3"/>
  <c r="G775" i="3" s="1"/>
  <c r="G1512" i="3"/>
  <c r="G438" i="3"/>
  <c r="G290" i="3"/>
  <c r="G289" i="3"/>
  <c r="G288" i="3"/>
  <c r="G284" i="3"/>
  <c r="G2514" i="3"/>
  <c r="G11" i="3" l="1"/>
  <c r="G10" i="3"/>
  <c r="G477" i="3" l="1"/>
  <c r="G2600" i="3"/>
  <c r="G2601" i="3"/>
  <c r="G2602" i="3"/>
  <c r="G2603" i="3"/>
  <c r="G2604" i="3"/>
  <c r="G2605" i="3"/>
  <c r="G2599" i="3"/>
  <c r="G437" i="16" l="1"/>
  <c r="G2316" i="3"/>
  <c r="G2317" i="3"/>
  <c r="G2318" i="3"/>
  <c r="G2307" i="3"/>
  <c r="G2308" i="3"/>
  <c r="G2309" i="3"/>
  <c r="G2310" i="3"/>
  <c r="G2311" i="3"/>
  <c r="G2312" i="3"/>
  <c r="G2313" i="3"/>
  <c r="G2314" i="3"/>
  <c r="G2315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10" i="3"/>
  <c r="G2011" i="3"/>
  <c r="G2012" i="3"/>
  <c r="G2013" i="3"/>
  <c r="G2014" i="3"/>
  <c r="G2015" i="3"/>
  <c r="G2016" i="3"/>
  <c r="G2017" i="3"/>
  <c r="G2018" i="3"/>
  <c r="G2019" i="3"/>
  <c r="G2020" i="3"/>
  <c r="G1983" i="3"/>
  <c r="G1984" i="3"/>
  <c r="G1985" i="3"/>
  <c r="G1986" i="3"/>
  <c r="G1987" i="3"/>
  <c r="G1988" i="3"/>
  <c r="G1989" i="3"/>
  <c r="G1822" i="3"/>
  <c r="G1823" i="3"/>
  <c r="G1824" i="3"/>
  <c r="G1825" i="3"/>
  <c r="G1826" i="3"/>
  <c r="G1827" i="3"/>
  <c r="G1828" i="3"/>
  <c r="G1829" i="3"/>
  <c r="G1830" i="3"/>
  <c r="G1831" i="3"/>
  <c r="G1832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764" i="3"/>
  <c r="G1765" i="3"/>
  <c r="G1766" i="3"/>
  <c r="G1767" i="3"/>
  <c r="G1768" i="3"/>
  <c r="G1769" i="3"/>
  <c r="G1763" i="3"/>
  <c r="G1164" i="3"/>
  <c r="G1165" i="3"/>
  <c r="G1166" i="3"/>
  <c r="G1167" i="3"/>
  <c r="G1168" i="3"/>
  <c r="G1163" i="3"/>
  <c r="G1147" i="3"/>
  <c r="G1148" i="3"/>
  <c r="G1149" i="3"/>
  <c r="G1150" i="3"/>
  <c r="G1151" i="3"/>
  <c r="G1152" i="3"/>
  <c r="G1153" i="3"/>
  <c r="G1154" i="3"/>
  <c r="G1155" i="3"/>
  <c r="G1146" i="3"/>
  <c r="G1132" i="3"/>
  <c r="G1133" i="3"/>
  <c r="G1134" i="3"/>
  <c r="G1135" i="3"/>
  <c r="G1136" i="3"/>
  <c r="G1137" i="3"/>
  <c r="G1131" i="3"/>
  <c r="G1098" i="3"/>
  <c r="G1099" i="3"/>
  <c r="G1100" i="3"/>
  <c r="G1101" i="3"/>
  <c r="G1102" i="3"/>
  <c r="G1103" i="3"/>
  <c r="G1104" i="3"/>
  <c r="G1105" i="3"/>
  <c r="G1106" i="3"/>
  <c r="G1107" i="3"/>
  <c r="G1108" i="3"/>
  <c r="G1097" i="3"/>
  <c r="G1072" i="3"/>
  <c r="G1073" i="3"/>
  <c r="G1074" i="3"/>
  <c r="G1075" i="3"/>
  <c r="G1076" i="3"/>
  <c r="G1077" i="3"/>
  <c r="G1071" i="3"/>
  <c r="G1061" i="3"/>
  <c r="G1062" i="3"/>
  <c r="G1063" i="3"/>
  <c r="G1064" i="3"/>
  <c r="G1065" i="3"/>
  <c r="G1060" i="3"/>
  <c r="I537" i="3"/>
  <c r="G543" i="3"/>
  <c r="G536" i="3"/>
  <c r="G924" i="3"/>
  <c r="G923" i="3"/>
  <c r="G922" i="3"/>
  <c r="G921" i="3"/>
  <c r="G915" i="3"/>
  <c r="G916" i="3"/>
  <c r="G917" i="3"/>
  <c r="G918" i="3"/>
  <c r="G919" i="3"/>
  <c r="G914" i="3"/>
  <c r="G678" i="3"/>
  <c r="G679" i="3"/>
  <c r="G681" i="3"/>
  <c r="G682" i="3"/>
  <c r="G683" i="3"/>
  <c r="G684" i="3"/>
  <c r="G685" i="3"/>
  <c r="G686" i="3"/>
  <c r="G687" i="3"/>
  <c r="G688" i="3"/>
  <c r="G677" i="3"/>
  <c r="G653" i="3"/>
  <c r="G654" i="3"/>
  <c r="G655" i="3"/>
  <c r="G656" i="3"/>
  <c r="G657" i="3"/>
  <c r="G65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22" i="3"/>
  <c r="G736" i="3" l="1"/>
  <c r="G737" i="3"/>
  <c r="G738" i="3"/>
  <c r="G739" i="3"/>
  <c r="G740" i="3"/>
  <c r="G741" i="3"/>
  <c r="G742" i="3"/>
  <c r="G743" i="3"/>
  <c r="G744" i="3"/>
  <c r="G745" i="3"/>
  <c r="G746" i="3"/>
  <c r="G735" i="3"/>
  <c r="G410" i="3"/>
  <c r="G411" i="3"/>
  <c r="G412" i="3"/>
  <c r="G413" i="3"/>
  <c r="G414" i="3"/>
  <c r="G409" i="3"/>
  <c r="G386" i="3" l="1"/>
  <c r="G387" i="3"/>
  <c r="G388" i="3"/>
  <c r="G389" i="3"/>
  <c r="G390" i="3"/>
  <c r="G385" i="3"/>
  <c r="G370" i="3"/>
  <c r="G371" i="3"/>
  <c r="G372" i="3"/>
  <c r="G373" i="3"/>
  <c r="G374" i="3"/>
  <c r="G369" i="3"/>
  <c r="G354" i="3"/>
  <c r="G348" i="3"/>
  <c r="G349" i="3"/>
  <c r="G350" i="3"/>
  <c r="G351" i="3"/>
  <c r="G352" i="3"/>
  <c r="G347" i="3"/>
  <c r="G309" i="3" l="1"/>
  <c r="G310" i="3"/>
  <c r="G308" i="3"/>
  <c r="G320" i="3" l="1"/>
  <c r="G321" i="3"/>
  <c r="G322" i="3"/>
  <c r="G323" i="3"/>
  <c r="G324" i="3"/>
  <c r="G319" i="3"/>
  <c r="G593" i="3" l="1"/>
  <c r="G594" i="3"/>
  <c r="G595" i="3"/>
  <c r="G596" i="3"/>
  <c r="G597" i="3"/>
  <c r="G598" i="3"/>
  <c r="G599" i="3"/>
  <c r="G600" i="3"/>
  <c r="G601" i="3"/>
  <c r="G592" i="3"/>
  <c r="G514" i="3"/>
  <c r="G572" i="3" l="1"/>
  <c r="G573" i="3"/>
  <c r="G574" i="3"/>
  <c r="G575" i="3"/>
  <c r="G576" i="3"/>
  <c r="G571" i="3"/>
  <c r="G513" i="3" l="1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12" i="3"/>
  <c r="G498" i="3" l="1"/>
  <c r="G499" i="3"/>
  <c r="G500" i="3"/>
  <c r="G501" i="3"/>
  <c r="G502" i="3"/>
  <c r="G497" i="3"/>
  <c r="G487" i="3"/>
  <c r="G488" i="3"/>
  <c r="G489" i="3"/>
  <c r="G490" i="3"/>
  <c r="G491" i="3"/>
  <c r="G486" i="3"/>
  <c r="D2709" i="3" l="1"/>
  <c r="E2709" i="3"/>
  <c r="D2706" i="3"/>
  <c r="D2707" i="3"/>
  <c r="E2697" i="3"/>
  <c r="E2701" i="3"/>
  <c r="E2689" i="3"/>
  <c r="E2691" i="3" s="1"/>
  <c r="E2676" i="3"/>
  <c r="E2670" i="3"/>
  <c r="E2658" i="3"/>
  <c r="E2660" i="3" s="1"/>
  <c r="E2561" i="3"/>
  <c r="E2566" i="3"/>
  <c r="E2572" i="3"/>
  <c r="E2581" i="3"/>
  <c r="E2591" i="3"/>
  <c r="E2545" i="3"/>
  <c r="E2541" i="3"/>
  <c r="E2527" i="3"/>
  <c r="E2522" i="3"/>
  <c r="E2518" i="3"/>
  <c r="E2512" i="3"/>
  <c r="E2503" i="3"/>
  <c r="E2495" i="3"/>
  <c r="E2485" i="3"/>
  <c r="E2480" i="3"/>
  <c r="E2472" i="3"/>
  <c r="E2467" i="3"/>
  <c r="E2459" i="3"/>
  <c r="E2453" i="3"/>
  <c r="E2442" i="3"/>
  <c r="E2435" i="3"/>
  <c r="E2424" i="3"/>
  <c r="E2413" i="3"/>
  <c r="E2415" i="3" s="1"/>
  <c r="E2401" i="3"/>
  <c r="E2396" i="3"/>
  <c r="E2369" i="3"/>
  <c r="E2351" i="3"/>
  <c r="E2299" i="3"/>
  <c r="E2294" i="3"/>
  <c r="E2289" i="3"/>
  <c r="E2285" i="3"/>
  <c r="E2279" i="3"/>
  <c r="E2275" i="3"/>
  <c r="E2262" i="3"/>
  <c r="E2252" i="3"/>
  <c r="E2239" i="3"/>
  <c r="E2233" i="3"/>
  <c r="E2199" i="3"/>
  <c r="E2201" i="3" s="1"/>
  <c r="E2211" i="3"/>
  <c r="E2213" i="3" s="1"/>
  <c r="E2190" i="3"/>
  <c r="E2192" i="3" s="1"/>
  <c r="E2172" i="3"/>
  <c r="E2158" i="3"/>
  <c r="E2145" i="3"/>
  <c r="E2137" i="3"/>
  <c r="E2126" i="3"/>
  <c r="E2120" i="3"/>
  <c r="E2100" i="3"/>
  <c r="E2076" i="3"/>
  <c r="E2037" i="3"/>
  <c r="E2031" i="3"/>
  <c r="E2007" i="3"/>
  <c r="E1972" i="3"/>
  <c r="E1977" i="3" s="1"/>
  <c r="E1966" i="3"/>
  <c r="E1960" i="3"/>
  <c r="E1955" i="3"/>
  <c r="E1940" i="3"/>
  <c r="E1942" i="3" s="1"/>
  <c r="E1915" i="3"/>
  <c r="E1910" i="3"/>
  <c r="E1905" i="3"/>
  <c r="E1884" i="3"/>
  <c r="E1856" i="3"/>
  <c r="E1818" i="3"/>
  <c r="E1791" i="3"/>
  <c r="E1743" i="3"/>
  <c r="E1739" i="3"/>
  <c r="E1755" i="3"/>
  <c r="E1732" i="3"/>
  <c r="E1726" i="3"/>
  <c r="E1712" i="3"/>
  <c r="E1714" i="3" s="1"/>
  <c r="E1689" i="3"/>
  <c r="E1683" i="3"/>
  <c r="E1669" i="3"/>
  <c r="E1675" i="3" s="1"/>
  <c r="E1652" i="3"/>
  <c r="E1656" i="3" s="1"/>
  <c r="E1631" i="3"/>
  <c r="E1621" i="3"/>
  <c r="E1610" i="3"/>
  <c r="E1603" i="3"/>
  <c r="E1593" i="3"/>
  <c r="E1584" i="3"/>
  <c r="E1575" i="3"/>
  <c r="E1571" i="3"/>
  <c r="E1559" i="3"/>
  <c r="E1554" i="3"/>
  <c r="E1547" i="3"/>
  <c r="E1542" i="3"/>
  <c r="E1528" i="3"/>
  <c r="E1523" i="3"/>
  <c r="E1498" i="3"/>
  <c r="E1503" i="3"/>
  <c r="E1516" i="3"/>
  <c r="E1486" i="3"/>
  <c r="E1482" i="3"/>
  <c r="E1475" i="3"/>
  <c r="E1471" i="3"/>
  <c r="E1462" i="3"/>
  <c r="E1457" i="3"/>
  <c r="E1459" i="3" s="1"/>
  <c r="E1446" i="3"/>
  <c r="E1442" i="3"/>
  <c r="E1438" i="3"/>
  <c r="E1431" i="3"/>
  <c r="E1424" i="3"/>
  <c r="E1420" i="3"/>
  <c r="E1407" i="3"/>
  <c r="E1402" i="3"/>
  <c r="E1394" i="3"/>
  <c r="E1388" i="3"/>
  <c r="E1378" i="3"/>
  <c r="E1358" i="3"/>
  <c r="E1360" i="3" s="1"/>
  <c r="E1347" i="3"/>
  <c r="E1335" i="3"/>
  <c r="E1329" i="3"/>
  <c r="E1320" i="3"/>
  <c r="E1313" i="3"/>
  <c r="E1305" i="3"/>
  <c r="E1298" i="3"/>
  <c r="E1290" i="3"/>
  <c r="E1285" i="3"/>
  <c r="E1279" i="3"/>
  <c r="E1269" i="3"/>
  <c r="E1271" i="3" s="1"/>
  <c r="E1263" i="3"/>
  <c r="E1257" i="3"/>
  <c r="E1247" i="3"/>
  <c r="E1238" i="3"/>
  <c r="E1232" i="3"/>
  <c r="E1225" i="3"/>
  <c r="E1216" i="3"/>
  <c r="E1206" i="3"/>
  <c r="E1208" i="3" s="1"/>
  <c r="E1200" i="3"/>
  <c r="E1172" i="3"/>
  <c r="E1160" i="3"/>
  <c r="E1143" i="3"/>
  <c r="E1128" i="3"/>
  <c r="E1124" i="3"/>
  <c r="E1094" i="3"/>
  <c r="E1068" i="3"/>
  <c r="E1057" i="3"/>
  <c r="E1013" i="3"/>
  <c r="E1000" i="3"/>
  <c r="E992" i="3"/>
  <c r="E994" i="3" s="1"/>
  <c r="E984" i="3"/>
  <c r="E971" i="3"/>
  <c r="E965" i="3"/>
  <c r="E959" i="3"/>
  <c r="E943" i="3"/>
  <c r="E939" i="3"/>
  <c r="E929" i="3"/>
  <c r="E912" i="3"/>
  <c r="E899" i="3"/>
  <c r="E877" i="3"/>
  <c r="E872" i="3"/>
  <c r="E866" i="3"/>
  <c r="E856" i="3"/>
  <c r="E849" i="3"/>
  <c r="E842" i="3"/>
  <c r="E844" i="3" s="1"/>
  <c r="E833" i="3"/>
  <c r="E828" i="3"/>
  <c r="E821" i="3"/>
  <c r="E823" i="3" s="1"/>
  <c r="E812" i="3"/>
  <c r="E807" i="3"/>
  <c r="E801" i="3"/>
  <c r="E803" i="3" s="1"/>
  <c r="D793" i="3"/>
  <c r="C793" i="3"/>
  <c r="E665" i="3"/>
  <c r="E669" i="3"/>
  <c r="E790" i="3"/>
  <c r="E772" i="3"/>
  <c r="E766" i="3"/>
  <c r="E732" i="3"/>
  <c r="E726" i="3"/>
  <c r="E716" i="3"/>
  <c r="E673" i="3"/>
  <c r="E649" i="3"/>
  <c r="E619" i="3"/>
  <c r="E614" i="3"/>
  <c r="E589" i="3"/>
  <c r="E587" i="3"/>
  <c r="E566" i="3"/>
  <c r="E509" i="3"/>
  <c r="E494" i="3"/>
  <c r="E483" i="3"/>
  <c r="E431" i="3"/>
  <c r="E424" i="3"/>
  <c r="E405" i="3"/>
  <c r="E382" i="3"/>
  <c r="E366" i="3"/>
  <c r="E344" i="3"/>
  <c r="E315" i="3"/>
  <c r="E299" i="3"/>
  <c r="E294" i="3"/>
  <c r="E281" i="3"/>
  <c r="E221" i="3"/>
  <c r="E177" i="3"/>
  <c r="E104" i="3"/>
  <c r="E106" i="3" s="1"/>
  <c r="E96" i="3"/>
  <c r="E87" i="3"/>
  <c r="E69" i="3"/>
  <c r="E58" i="3"/>
  <c r="E50" i="3"/>
  <c r="E26" i="3"/>
  <c r="F19" i="3"/>
  <c r="E19" i="3"/>
  <c r="F2709" i="3"/>
  <c r="C2709" i="3"/>
  <c r="C2707" i="3"/>
  <c r="C2706" i="3"/>
  <c r="D2702" i="3"/>
  <c r="C2702" i="3"/>
  <c r="G2701" i="3"/>
  <c r="F2701" i="3"/>
  <c r="G2697" i="3"/>
  <c r="F2697" i="3"/>
  <c r="G2693" i="3"/>
  <c r="D2692" i="3"/>
  <c r="C2692" i="3"/>
  <c r="G2689" i="3"/>
  <c r="G2691" i="3" s="1"/>
  <c r="F2689" i="3"/>
  <c r="F2691" i="3" s="1"/>
  <c r="G2676" i="3"/>
  <c r="F2676" i="3"/>
  <c r="G2670" i="3"/>
  <c r="F2670" i="3"/>
  <c r="D2661" i="3"/>
  <c r="C2661" i="3"/>
  <c r="G2658" i="3"/>
  <c r="G2660" i="3" s="1"/>
  <c r="F2658" i="3"/>
  <c r="F2660" i="3" s="1"/>
  <c r="F2661" i="3" s="1"/>
  <c r="G2550" i="3" s="1"/>
  <c r="G2591" i="3"/>
  <c r="F2591" i="3"/>
  <c r="G2581" i="3"/>
  <c r="F2581" i="3"/>
  <c r="G2572" i="3"/>
  <c r="F2572" i="3"/>
  <c r="G2566" i="3"/>
  <c r="F2566" i="3"/>
  <c r="G2561" i="3"/>
  <c r="F2561" i="3"/>
  <c r="D2548" i="3"/>
  <c r="C2548" i="3"/>
  <c r="G2545" i="3"/>
  <c r="F2545" i="3"/>
  <c r="G2541" i="3"/>
  <c r="F2541" i="3"/>
  <c r="G2527" i="3"/>
  <c r="F2527" i="3"/>
  <c r="G2522" i="3"/>
  <c r="F2522" i="3"/>
  <c r="G2518" i="3"/>
  <c r="F2518" i="3"/>
  <c r="G2512" i="3"/>
  <c r="F2512" i="3"/>
  <c r="D2504" i="3"/>
  <c r="C2504" i="3"/>
  <c r="G2503" i="3"/>
  <c r="F2503" i="3"/>
  <c r="G2495" i="3"/>
  <c r="F2495" i="3"/>
  <c r="D2486" i="3"/>
  <c r="C2486" i="3"/>
  <c r="G2485" i="3"/>
  <c r="F2485" i="3"/>
  <c r="G2480" i="3"/>
  <c r="F2480" i="3"/>
  <c r="D2473" i="3"/>
  <c r="C2473" i="3"/>
  <c r="G2472" i="3"/>
  <c r="F2472" i="3"/>
  <c r="G2467" i="3"/>
  <c r="F2467" i="3"/>
  <c r="D2460" i="3"/>
  <c r="C2460" i="3"/>
  <c r="G2459" i="3"/>
  <c r="F2459" i="3"/>
  <c r="G2453" i="3"/>
  <c r="F2453" i="3"/>
  <c r="D2445" i="3"/>
  <c r="C2445" i="3"/>
  <c r="G2442" i="3"/>
  <c r="F2442" i="3"/>
  <c r="G2435" i="3"/>
  <c r="F2435" i="3"/>
  <c r="G2424" i="3"/>
  <c r="F2424" i="3"/>
  <c r="G2413" i="3"/>
  <c r="G2415" i="3" s="1"/>
  <c r="F2413" i="3"/>
  <c r="F2415" i="3" s="1"/>
  <c r="D2404" i="3"/>
  <c r="C2404" i="3"/>
  <c r="G2401" i="3"/>
  <c r="F2401" i="3"/>
  <c r="G2396" i="3"/>
  <c r="F2396" i="3"/>
  <c r="G2369" i="3"/>
  <c r="F2369" i="3"/>
  <c r="G2351" i="3"/>
  <c r="F2351" i="3"/>
  <c r="G2299" i="3"/>
  <c r="F2299" i="3"/>
  <c r="G2294" i="3"/>
  <c r="F2294" i="3"/>
  <c r="G2289" i="3"/>
  <c r="F2289" i="3"/>
  <c r="G2285" i="3"/>
  <c r="F2285" i="3"/>
  <c r="G2279" i="3"/>
  <c r="F2279" i="3"/>
  <c r="G2275" i="3"/>
  <c r="F2275" i="3"/>
  <c r="G2262" i="3"/>
  <c r="F2262" i="3"/>
  <c r="G2252" i="3"/>
  <c r="F2252" i="3"/>
  <c r="G2239" i="3"/>
  <c r="F2239" i="3"/>
  <c r="G2233" i="3"/>
  <c r="F2233" i="3"/>
  <c r="G2211" i="3"/>
  <c r="G2213" i="3" s="1"/>
  <c r="F2211" i="3"/>
  <c r="F2213" i="3" s="1"/>
  <c r="D2202" i="3"/>
  <c r="G2199" i="3"/>
  <c r="G2201" i="3" s="1"/>
  <c r="F2199" i="3"/>
  <c r="F2201" i="3" s="1"/>
  <c r="G2190" i="3"/>
  <c r="G2192" i="3" s="1"/>
  <c r="F2190" i="3"/>
  <c r="F2192" i="3" s="1"/>
  <c r="D2181" i="3"/>
  <c r="C2181" i="3"/>
  <c r="G2172" i="3"/>
  <c r="F2172" i="3"/>
  <c r="F2158" i="3"/>
  <c r="G2145" i="3"/>
  <c r="F2145" i="3"/>
  <c r="G2137" i="3"/>
  <c r="F2137" i="3"/>
  <c r="D2129" i="3"/>
  <c r="C2129" i="3"/>
  <c r="G2126" i="3"/>
  <c r="F2126" i="3"/>
  <c r="G2120" i="3"/>
  <c r="F2120" i="3"/>
  <c r="G2100" i="3"/>
  <c r="F2100" i="3"/>
  <c r="G2076" i="3"/>
  <c r="F2076" i="3"/>
  <c r="G2037" i="3"/>
  <c r="F2037" i="3"/>
  <c r="G2031" i="3"/>
  <c r="F2031" i="3"/>
  <c r="G2007" i="3"/>
  <c r="F2007" i="3"/>
  <c r="G1972" i="3"/>
  <c r="G1977" i="3" s="1"/>
  <c r="F1972" i="3"/>
  <c r="F1977" i="3" s="1"/>
  <c r="G1966" i="3"/>
  <c r="F1966" i="3"/>
  <c r="G1960" i="3"/>
  <c r="F1960" i="3"/>
  <c r="G1955" i="3"/>
  <c r="F1955" i="3"/>
  <c r="G1940" i="3"/>
  <c r="G1942" i="3" s="1"/>
  <c r="F1940" i="3"/>
  <c r="F1942" i="3" s="1"/>
  <c r="D1918" i="3"/>
  <c r="C1918" i="3"/>
  <c r="G1915" i="3"/>
  <c r="F1915" i="3"/>
  <c r="G1910" i="3"/>
  <c r="F1910" i="3"/>
  <c r="G1905" i="3"/>
  <c r="F1905" i="3"/>
  <c r="G1884" i="3"/>
  <c r="F1884" i="3"/>
  <c r="G1856" i="3"/>
  <c r="F1856" i="3"/>
  <c r="G1818" i="3"/>
  <c r="F1818" i="3"/>
  <c r="G1791" i="3"/>
  <c r="F1791" i="3"/>
  <c r="G1755" i="3"/>
  <c r="F1755" i="3"/>
  <c r="G1743" i="3"/>
  <c r="F1743" i="3"/>
  <c r="G1739" i="3"/>
  <c r="F1739" i="3"/>
  <c r="G1732" i="3"/>
  <c r="F1732" i="3"/>
  <c r="G1726" i="3"/>
  <c r="F1726" i="3"/>
  <c r="G1712" i="3"/>
  <c r="G1714" i="3" s="1"/>
  <c r="F1712" i="3"/>
  <c r="F1714" i="3" s="1"/>
  <c r="G1689" i="3"/>
  <c r="F1689" i="3"/>
  <c r="G1683" i="3"/>
  <c r="F1683" i="3"/>
  <c r="D1676" i="3"/>
  <c r="C1676" i="3"/>
  <c r="G1669" i="3"/>
  <c r="G1675" i="3" s="1"/>
  <c r="F1669" i="3"/>
  <c r="F1675" i="3" s="1"/>
  <c r="G1652" i="3"/>
  <c r="G1656" i="3" s="1"/>
  <c r="F1652" i="3"/>
  <c r="F1656" i="3" s="1"/>
  <c r="D1632" i="3"/>
  <c r="C1632" i="3"/>
  <c r="G1631" i="3"/>
  <c r="F1631" i="3"/>
  <c r="G1621" i="3"/>
  <c r="F1621" i="3"/>
  <c r="D1611" i="3"/>
  <c r="C1611" i="3"/>
  <c r="G1610" i="3"/>
  <c r="F1610" i="3"/>
  <c r="G1603" i="3"/>
  <c r="F1603" i="3"/>
  <c r="D1594" i="3"/>
  <c r="C1594" i="3"/>
  <c r="G1593" i="3"/>
  <c r="F1593" i="3"/>
  <c r="G1584" i="3"/>
  <c r="F1584" i="3"/>
  <c r="D1576" i="3"/>
  <c r="C1576" i="3"/>
  <c r="G1575" i="3"/>
  <c r="F1575" i="3"/>
  <c r="G1571" i="3"/>
  <c r="F1571" i="3"/>
  <c r="D1562" i="3"/>
  <c r="C1562" i="3"/>
  <c r="G1559" i="3"/>
  <c r="F1559" i="3"/>
  <c r="G1554" i="3"/>
  <c r="F1554" i="3"/>
  <c r="G1547" i="3"/>
  <c r="F1547" i="3"/>
  <c r="G1542" i="3"/>
  <c r="F1542" i="3"/>
  <c r="D1534" i="3"/>
  <c r="C1534" i="3"/>
  <c r="G1528" i="3"/>
  <c r="F1528" i="3"/>
  <c r="G1523" i="3"/>
  <c r="F1523" i="3"/>
  <c r="G1516" i="3"/>
  <c r="F1516" i="3"/>
  <c r="G1503" i="3"/>
  <c r="F1503" i="3"/>
  <c r="G1498" i="3"/>
  <c r="F1498" i="3"/>
  <c r="D1489" i="3"/>
  <c r="C1489" i="3"/>
  <c r="G1486" i="3"/>
  <c r="F1486" i="3"/>
  <c r="G1482" i="3"/>
  <c r="F1482" i="3"/>
  <c r="G1475" i="3"/>
  <c r="F1475" i="3"/>
  <c r="G1471" i="3"/>
  <c r="F1471" i="3"/>
  <c r="D1463" i="3"/>
  <c r="C1463" i="3"/>
  <c r="G1462" i="3"/>
  <c r="F1462" i="3"/>
  <c r="G1457" i="3"/>
  <c r="G1459" i="3" s="1"/>
  <c r="F1457" i="3"/>
  <c r="F1459" i="3" s="1"/>
  <c r="D1449" i="3"/>
  <c r="C1449" i="3"/>
  <c r="G1446" i="3"/>
  <c r="F1446" i="3"/>
  <c r="G1442" i="3"/>
  <c r="F1442" i="3"/>
  <c r="G1438" i="3"/>
  <c r="F1438" i="3"/>
  <c r="G1431" i="3"/>
  <c r="F1431" i="3"/>
  <c r="G1424" i="3"/>
  <c r="F1424" i="3"/>
  <c r="G1420" i="3"/>
  <c r="F1420" i="3"/>
  <c r="D1410" i="3"/>
  <c r="C1410" i="3"/>
  <c r="G1407" i="3"/>
  <c r="F1407" i="3"/>
  <c r="G1402" i="3"/>
  <c r="F1402" i="3"/>
  <c r="G1394" i="3"/>
  <c r="F1394" i="3"/>
  <c r="G1388" i="3"/>
  <c r="F1388" i="3"/>
  <c r="D1379" i="3"/>
  <c r="C1379" i="3"/>
  <c r="G1378" i="3"/>
  <c r="F1378" i="3"/>
  <c r="G1358" i="3"/>
  <c r="G1360" i="3" s="1"/>
  <c r="F1358" i="3"/>
  <c r="F1360" i="3" s="1"/>
  <c r="D1348" i="3"/>
  <c r="C1348" i="3"/>
  <c r="G1347" i="3"/>
  <c r="F1347" i="3"/>
  <c r="K1342" i="3"/>
  <c r="K1341" i="3"/>
  <c r="K1340" i="3"/>
  <c r="G1335" i="3"/>
  <c r="F1335" i="3"/>
  <c r="D1330" i="3"/>
  <c r="C1330" i="3"/>
  <c r="G1329" i="3"/>
  <c r="F1329" i="3"/>
  <c r="G1320" i="3"/>
  <c r="F1320" i="3"/>
  <c r="D1314" i="3"/>
  <c r="C1314" i="3"/>
  <c r="G1313" i="3"/>
  <c r="F1313" i="3"/>
  <c r="G1305" i="3"/>
  <c r="F1305" i="3"/>
  <c r="G1298" i="3"/>
  <c r="F1298" i="3"/>
  <c r="D1291" i="3"/>
  <c r="C1291" i="3"/>
  <c r="G1290" i="3"/>
  <c r="F1290" i="3"/>
  <c r="G1285" i="3"/>
  <c r="F1285" i="3"/>
  <c r="G1279" i="3"/>
  <c r="F1279" i="3"/>
  <c r="D1272" i="3"/>
  <c r="C1272" i="3"/>
  <c r="G1269" i="3"/>
  <c r="G1271" i="3" s="1"/>
  <c r="F1269" i="3"/>
  <c r="F1271" i="3" s="1"/>
  <c r="G1263" i="3"/>
  <c r="F1263" i="3"/>
  <c r="G1257" i="3"/>
  <c r="F1257" i="3"/>
  <c r="D1248" i="3"/>
  <c r="C1248" i="3"/>
  <c r="G1247" i="3"/>
  <c r="F1247" i="3"/>
  <c r="G1238" i="3"/>
  <c r="F1238" i="3"/>
  <c r="G1232" i="3"/>
  <c r="F1232" i="3"/>
  <c r="G1225" i="3"/>
  <c r="F1225" i="3"/>
  <c r="D1217" i="3"/>
  <c r="C1217" i="3"/>
  <c r="G1216" i="3"/>
  <c r="F1216" i="3"/>
  <c r="G1206" i="3"/>
  <c r="G1208" i="3" s="1"/>
  <c r="F1206" i="3"/>
  <c r="F1208" i="3" s="1"/>
  <c r="G1200" i="3"/>
  <c r="F1200" i="3"/>
  <c r="D1192" i="3"/>
  <c r="C1192" i="3"/>
  <c r="L1177" i="3"/>
  <c r="L1176" i="3"/>
  <c r="L1175" i="3"/>
  <c r="G1172" i="3"/>
  <c r="F1172" i="3"/>
  <c r="G1160" i="3"/>
  <c r="F1160" i="3"/>
  <c r="G1143" i="3"/>
  <c r="F1143" i="3"/>
  <c r="G1128" i="3"/>
  <c r="F1128" i="3"/>
  <c r="G1124" i="3"/>
  <c r="F1124" i="3"/>
  <c r="G1094" i="3"/>
  <c r="F1094" i="3"/>
  <c r="G1068" i="3"/>
  <c r="F1068" i="3"/>
  <c r="G1057" i="3"/>
  <c r="F1057" i="3"/>
  <c r="G1013" i="3"/>
  <c r="F1013" i="3"/>
  <c r="G1000" i="3"/>
  <c r="F1000" i="3"/>
  <c r="G992" i="3"/>
  <c r="F992" i="3"/>
  <c r="G984" i="3"/>
  <c r="F984" i="3"/>
  <c r="G971" i="3"/>
  <c r="F971" i="3"/>
  <c r="G965" i="3"/>
  <c r="F965" i="3"/>
  <c r="G959" i="3"/>
  <c r="F959" i="3"/>
  <c r="G943" i="3"/>
  <c r="F943" i="3"/>
  <c r="G939" i="3"/>
  <c r="F939" i="3"/>
  <c r="D930" i="3"/>
  <c r="C930" i="3"/>
  <c r="G929" i="3"/>
  <c r="F929" i="3"/>
  <c r="G912" i="3"/>
  <c r="F912" i="3"/>
  <c r="D900" i="3"/>
  <c r="C900" i="3"/>
  <c r="G877" i="3"/>
  <c r="F877" i="3"/>
  <c r="G872" i="3"/>
  <c r="F872" i="3"/>
  <c r="G866" i="3"/>
  <c r="F866" i="3"/>
  <c r="D857" i="3"/>
  <c r="C857" i="3"/>
  <c r="G856" i="3"/>
  <c r="F856" i="3"/>
  <c r="G849" i="3"/>
  <c r="F849" i="3"/>
  <c r="G842" i="3"/>
  <c r="G844" i="3" s="1"/>
  <c r="F842" i="3"/>
  <c r="F844" i="3" s="1"/>
  <c r="D834" i="3"/>
  <c r="C834" i="3"/>
  <c r="G833" i="3"/>
  <c r="F833" i="3"/>
  <c r="G828" i="3"/>
  <c r="F828" i="3"/>
  <c r="G821" i="3"/>
  <c r="G823" i="3" s="1"/>
  <c r="F821" i="3"/>
  <c r="F823" i="3" s="1"/>
  <c r="D813" i="3"/>
  <c r="C813" i="3"/>
  <c r="G812" i="3"/>
  <c r="F812" i="3"/>
  <c r="G807" i="3"/>
  <c r="F807" i="3"/>
  <c r="G801" i="3"/>
  <c r="G803" i="3" s="1"/>
  <c r="F801" i="3"/>
  <c r="F803" i="3" s="1"/>
  <c r="G790" i="3"/>
  <c r="F790" i="3"/>
  <c r="G772" i="3"/>
  <c r="F772" i="3"/>
  <c r="G766" i="3"/>
  <c r="F766" i="3"/>
  <c r="G732" i="3"/>
  <c r="F732" i="3"/>
  <c r="G726" i="3"/>
  <c r="F726" i="3"/>
  <c r="G716" i="3"/>
  <c r="F716" i="3"/>
  <c r="G673" i="3"/>
  <c r="F673" i="3"/>
  <c r="G669" i="3"/>
  <c r="F669" i="3"/>
  <c r="G665" i="3"/>
  <c r="F665" i="3"/>
  <c r="G649" i="3"/>
  <c r="F649" i="3"/>
  <c r="G619" i="3"/>
  <c r="F619" i="3"/>
  <c r="G614" i="3"/>
  <c r="F614" i="3"/>
  <c r="G587" i="3"/>
  <c r="G589" i="3" s="1"/>
  <c r="F587" i="3"/>
  <c r="F589" i="3" s="1"/>
  <c r="D568" i="3"/>
  <c r="C568" i="3"/>
  <c r="G566" i="3"/>
  <c r="F566" i="3"/>
  <c r="G509" i="3"/>
  <c r="F509" i="3"/>
  <c r="G494" i="3"/>
  <c r="F494" i="3"/>
  <c r="G483" i="3"/>
  <c r="F483" i="3"/>
  <c r="G431" i="3"/>
  <c r="F431" i="3"/>
  <c r="G424" i="3"/>
  <c r="F424" i="3"/>
  <c r="G405" i="3"/>
  <c r="F405" i="3"/>
  <c r="G382" i="3"/>
  <c r="F382" i="3"/>
  <c r="G366" i="3"/>
  <c r="F366" i="3"/>
  <c r="G344" i="3"/>
  <c r="F344" i="3"/>
  <c r="G315" i="3"/>
  <c r="F315" i="3"/>
  <c r="G299" i="3"/>
  <c r="F299" i="3"/>
  <c r="G294" i="3"/>
  <c r="F294" i="3"/>
  <c r="G281" i="3"/>
  <c r="F281" i="3"/>
  <c r="G221" i="3"/>
  <c r="F221" i="3"/>
  <c r="G177" i="3"/>
  <c r="F177" i="3"/>
  <c r="G104" i="3"/>
  <c r="G106" i="3" s="1"/>
  <c r="F104" i="3"/>
  <c r="F106" i="3" s="1"/>
  <c r="G96" i="3"/>
  <c r="F96" i="3"/>
  <c r="G87" i="3"/>
  <c r="F87" i="3"/>
  <c r="G69" i="3"/>
  <c r="F69" i="3"/>
  <c r="G58" i="3"/>
  <c r="F58" i="3"/>
  <c r="G50" i="3"/>
  <c r="F50" i="3"/>
  <c r="G26" i="3"/>
  <c r="F26" i="3"/>
  <c r="G19" i="3"/>
  <c r="E809" i="3" l="1"/>
  <c r="E813" i="3" s="1"/>
  <c r="E2147" i="3"/>
  <c r="E830" i="3"/>
  <c r="E834" i="3" s="1"/>
  <c r="E1549" i="3"/>
  <c r="E1611" i="3"/>
  <c r="E2444" i="3"/>
  <c r="E2473" i="3"/>
  <c r="E2504" i="3"/>
  <c r="E851" i="3"/>
  <c r="E857" i="3" s="1"/>
  <c r="E1287" i="3"/>
  <c r="E1291" i="3" s="1"/>
  <c r="E1396" i="3"/>
  <c r="E1426" i="3"/>
  <c r="E1433" i="3" s="1"/>
  <c r="E1477" i="3"/>
  <c r="E2202" i="3"/>
  <c r="E930" i="3"/>
  <c r="E1448" i="3"/>
  <c r="E1594" i="3"/>
  <c r="E1962" i="3"/>
  <c r="E2426" i="3"/>
  <c r="E1979" i="3"/>
  <c r="E879" i="3"/>
  <c r="E884" i="3" s="1"/>
  <c r="E900" i="3" s="1"/>
  <c r="E1240" i="3"/>
  <c r="E1248" i="3" s="1"/>
  <c r="E2128" i="3"/>
  <c r="E2403" i="3"/>
  <c r="E2593" i="3"/>
  <c r="F1576" i="3"/>
  <c r="G1564" i="3" s="1"/>
  <c r="G1576" i="3" s="1"/>
  <c r="E1265" i="3"/>
  <c r="E1272" i="3" s="1"/>
  <c r="E1330" i="3"/>
  <c r="E1463" i="3"/>
  <c r="E2180" i="3"/>
  <c r="E2181" i="3" s="1"/>
  <c r="E2460" i="3"/>
  <c r="E2486" i="3"/>
  <c r="E2547" i="3"/>
  <c r="E1745" i="3"/>
  <c r="E1917" i="3"/>
  <c r="E2702" i="3"/>
  <c r="E1015" i="3"/>
  <c r="E1017" i="3" s="1"/>
  <c r="E1307" i="3"/>
  <c r="E1314" i="3" s="1"/>
  <c r="E2281" i="3"/>
  <c r="E2529" i="3"/>
  <c r="E2568" i="3"/>
  <c r="C2710" i="3"/>
  <c r="E1191" i="3"/>
  <c r="E1210" i="3"/>
  <c r="E1217" i="3" s="1"/>
  <c r="E1488" i="3"/>
  <c r="E1561" i="3"/>
  <c r="C2714" i="3"/>
  <c r="E2264" i="3"/>
  <c r="D2710" i="3"/>
  <c r="E1409" i="3"/>
  <c r="E1518" i="3"/>
  <c r="E1534" i="3" s="1"/>
  <c r="E1734" i="3"/>
  <c r="E2243" i="3"/>
  <c r="E2678" i="3"/>
  <c r="E2692" i="3" s="1"/>
  <c r="D2714" i="3"/>
  <c r="E1379" i="3"/>
  <c r="E973" i="3"/>
  <c r="E1348" i="3"/>
  <c r="E1632" i="3"/>
  <c r="E1676" i="3"/>
  <c r="E1576" i="3"/>
  <c r="E568" i="3"/>
  <c r="F1962" i="3"/>
  <c r="F1240" i="3"/>
  <c r="F1248" i="3" s="1"/>
  <c r="G1219" i="3" s="1"/>
  <c r="G2264" i="3"/>
  <c r="E728" i="3"/>
  <c r="G1409" i="3"/>
  <c r="E52" i="3"/>
  <c r="E99" i="3"/>
  <c r="F1348" i="3"/>
  <c r="G1332" i="3" s="1"/>
  <c r="G1348" i="3" s="1"/>
  <c r="G1265" i="3"/>
  <c r="F1561" i="3"/>
  <c r="F2593" i="3"/>
  <c r="F1210" i="3"/>
  <c r="F1217" i="3" s="1"/>
  <c r="G1194" i="3" s="1"/>
  <c r="F1396" i="3"/>
  <c r="G1561" i="3"/>
  <c r="F1549" i="3"/>
  <c r="G2301" i="3"/>
  <c r="G2568" i="3"/>
  <c r="F1191" i="3"/>
  <c r="F2504" i="3"/>
  <c r="G2488" i="3" s="1"/>
  <c r="G2504" i="3" s="1"/>
  <c r="F1477" i="3"/>
  <c r="G1488" i="3"/>
  <c r="F1734" i="3"/>
  <c r="F2281" i="3"/>
  <c r="F2301" i="3"/>
  <c r="F2147" i="3"/>
  <c r="F1448" i="3"/>
  <c r="F1463" i="3"/>
  <c r="G1451" i="3" s="1"/>
  <c r="G1463" i="3" s="1"/>
  <c r="F2403" i="3"/>
  <c r="F2444" i="3"/>
  <c r="F2486" i="3"/>
  <c r="G2475" i="3" s="1"/>
  <c r="G2486" i="3" s="1"/>
  <c r="G1448" i="3"/>
  <c r="G1287" i="3"/>
  <c r="G1307" i="3"/>
  <c r="F1426" i="3"/>
  <c r="F1433" i="3" s="1"/>
  <c r="F1449" i="3" s="1"/>
  <c r="G1412" i="3" s="1"/>
  <c r="G2147" i="3"/>
  <c r="F1015" i="3"/>
  <c r="G1533" i="3"/>
  <c r="F1632" i="3"/>
  <c r="G1613" i="3" s="1"/>
  <c r="G1632" i="3" s="1"/>
  <c r="G1734" i="3"/>
  <c r="F2180" i="3"/>
  <c r="F2243" i="3"/>
  <c r="F2460" i="3"/>
  <c r="G2447" i="3" s="1"/>
  <c r="G2460" i="3" s="1"/>
  <c r="G2593" i="3"/>
  <c r="F830" i="3"/>
  <c r="F834" i="3" s="1"/>
  <c r="G815" i="3" s="1"/>
  <c r="F1611" i="3"/>
  <c r="G1596" i="3" s="1"/>
  <c r="G1611" i="3" s="1"/>
  <c r="G1962" i="3"/>
  <c r="G1979" i="3" s="1"/>
  <c r="G2529" i="3"/>
  <c r="G2547" i="3"/>
  <c r="F1518" i="3"/>
  <c r="G99" i="3"/>
  <c r="G809" i="3"/>
  <c r="G830" i="3"/>
  <c r="G1015" i="3"/>
  <c r="F1409" i="3"/>
  <c r="F1745" i="3"/>
  <c r="G2243" i="3"/>
  <c r="G2403" i="3"/>
  <c r="F2547" i="3"/>
  <c r="F2568" i="3"/>
  <c r="F728" i="3"/>
  <c r="F930" i="3"/>
  <c r="G902" i="3" s="1"/>
  <c r="G930" i="3" s="1"/>
  <c r="G728" i="3"/>
  <c r="G792" i="3" s="1"/>
  <c r="F1287" i="3"/>
  <c r="F1291" i="3" s="1"/>
  <c r="G1274" i="3" s="1"/>
  <c r="F1307" i="3"/>
  <c r="F1314" i="3" s="1"/>
  <c r="G1293" i="3" s="1"/>
  <c r="F1330" i="3"/>
  <c r="G1316" i="3" s="1"/>
  <c r="G1330" i="3" s="1"/>
  <c r="G1477" i="3"/>
  <c r="G1549" i="3"/>
  <c r="F2264" i="3"/>
  <c r="G1745" i="3"/>
  <c r="G2128" i="3"/>
  <c r="G2444" i="3"/>
  <c r="G2678" i="3"/>
  <c r="G879" i="3"/>
  <c r="G884" i="3" s="1"/>
  <c r="F52" i="3"/>
  <c r="G1191" i="3"/>
  <c r="G1396" i="3"/>
  <c r="F1488" i="3"/>
  <c r="F1676" i="3"/>
  <c r="G1634" i="3" s="1"/>
  <c r="G1676" i="3" s="1"/>
  <c r="F2426" i="3"/>
  <c r="F2678" i="3"/>
  <c r="F2692" i="3" s="1"/>
  <c r="G2663" i="3" s="1"/>
  <c r="F568" i="3"/>
  <c r="F809" i="3"/>
  <c r="F813" i="3" s="1"/>
  <c r="G795" i="3" s="1"/>
  <c r="G52" i="3"/>
  <c r="G568" i="3"/>
  <c r="F1379" i="3"/>
  <c r="G1350" i="3" s="1"/>
  <c r="G1379" i="3" s="1"/>
  <c r="G1518" i="3"/>
  <c r="G2426" i="3"/>
  <c r="F2473" i="3"/>
  <c r="G2462" i="3" s="1"/>
  <c r="G2473" i="3" s="1"/>
  <c r="F2702" i="3"/>
  <c r="G2694" i="3" s="1"/>
  <c r="G2702" i="3" s="1"/>
  <c r="G1240" i="3"/>
  <c r="F1917" i="3"/>
  <c r="F2128" i="3"/>
  <c r="G851" i="3"/>
  <c r="F973" i="3"/>
  <c r="F994" i="3"/>
  <c r="F1265" i="3"/>
  <c r="F1272" i="3" s="1"/>
  <c r="G1250" i="3" s="1"/>
  <c r="G1426" i="3"/>
  <c r="G1433" i="3" s="1"/>
  <c r="F1533" i="3"/>
  <c r="F99" i="3"/>
  <c r="F851" i="3"/>
  <c r="F857" i="3" s="1"/>
  <c r="G836" i="3" s="1"/>
  <c r="F879" i="3"/>
  <c r="F884" i="3" s="1"/>
  <c r="F900" i="3" s="1"/>
  <c r="G859" i="3" s="1"/>
  <c r="G973" i="3"/>
  <c r="G994" i="3"/>
  <c r="G1210" i="3"/>
  <c r="F1594" i="3"/>
  <c r="G1578" i="3" s="1"/>
  <c r="G1594" i="3" s="1"/>
  <c r="G2281" i="3"/>
  <c r="F2529" i="3"/>
  <c r="G1917" i="3"/>
  <c r="F1979" i="3"/>
  <c r="F2202" i="3"/>
  <c r="G2183" i="3" s="1"/>
  <c r="G2202" i="3" s="1"/>
  <c r="E1562" i="3" l="1"/>
  <c r="F304" i="3"/>
  <c r="E1759" i="3"/>
  <c r="E1918" i="3" s="1"/>
  <c r="E2129" i="3"/>
  <c r="E2445" i="3"/>
  <c r="E1449" i="3"/>
  <c r="E1489" i="3"/>
  <c r="E1192" i="3"/>
  <c r="E2548" i="3"/>
  <c r="E1410" i="3"/>
  <c r="F1410" i="3"/>
  <c r="G1381" i="3" s="1"/>
  <c r="G1410" i="3" s="1"/>
  <c r="E304" i="3"/>
  <c r="E2303" i="3"/>
  <c r="E2404" i="3" s="1"/>
  <c r="D2715" i="3"/>
  <c r="G1248" i="3"/>
  <c r="E2595" i="3"/>
  <c r="E2661" i="3" s="1"/>
  <c r="C2715" i="3"/>
  <c r="F1489" i="3"/>
  <c r="G1465" i="3" s="1"/>
  <c r="G1489" i="3" s="1"/>
  <c r="E792" i="3"/>
  <c r="G1759" i="3"/>
  <c r="F1562" i="3"/>
  <c r="G1536" i="3" s="1"/>
  <c r="G1562" i="3" s="1"/>
  <c r="G1017" i="3"/>
  <c r="F2303" i="3"/>
  <c r="F2404" i="3" s="1"/>
  <c r="G2226" i="3" s="1"/>
  <c r="G1314" i="3"/>
  <c r="F792" i="3"/>
  <c r="F2706" i="3" s="1"/>
  <c r="G834" i="3"/>
  <c r="G1272" i="3"/>
  <c r="G857" i="3"/>
  <c r="F2445" i="3"/>
  <c r="G2406" i="3" s="1"/>
  <c r="G2445" i="3" s="1"/>
  <c r="G2595" i="3"/>
  <c r="G2661" i="3" s="1"/>
  <c r="F2548" i="3"/>
  <c r="G2506" i="3" s="1"/>
  <c r="G2548" i="3" s="1"/>
  <c r="G304" i="3"/>
  <c r="H792" i="3" s="1"/>
  <c r="G1291" i="3"/>
  <c r="F1759" i="3"/>
  <c r="F1918" i="3" s="1"/>
  <c r="G1678" i="3" s="1"/>
  <c r="G2303" i="3"/>
  <c r="F1017" i="3"/>
  <c r="F1192" i="3" s="1"/>
  <c r="G932" i="3" s="1"/>
  <c r="G2706" i="3"/>
  <c r="F2181" i="3"/>
  <c r="G2131" i="3" s="1"/>
  <c r="G2181" i="3" s="1"/>
  <c r="G813" i="3"/>
  <c r="G900" i="3"/>
  <c r="F1534" i="3"/>
  <c r="G1491" i="3" s="1"/>
  <c r="G1534" i="3" s="1"/>
  <c r="G1217" i="3"/>
  <c r="G2692" i="3"/>
  <c r="F2129" i="3"/>
  <c r="G1920" i="3" s="1"/>
  <c r="G2129" i="3" s="1"/>
  <c r="G1449" i="3"/>
  <c r="E2707" i="3" l="1"/>
  <c r="E793" i="3"/>
  <c r="E2710" i="3" s="1"/>
  <c r="E2706" i="3"/>
  <c r="G1192" i="3"/>
  <c r="G1918" i="3"/>
  <c r="F793" i="3"/>
  <c r="G2707" i="3"/>
  <c r="G2404" i="3"/>
  <c r="F2707" i="3"/>
  <c r="F2714" i="3" s="1"/>
  <c r="E2714" i="3" l="1"/>
  <c r="E2715" i="3" s="1"/>
  <c r="F2710" i="3"/>
  <c r="F2715" i="3" s="1"/>
  <c r="G6" i="3"/>
  <c r="G793" i="3" s="1"/>
  <c r="G2710" i="3" s="1"/>
  <c r="G2709" i="3" l="1"/>
  <c r="G2714" i="3" s="1"/>
  <c r="G2715" i="3"/>
  <c r="E809" i="1" l="1"/>
  <c r="F809" i="1"/>
  <c r="E830" i="1"/>
  <c r="F830" i="1"/>
  <c r="J1338" i="1"/>
  <c r="J1337" i="1"/>
  <c r="J1336" i="1"/>
  <c r="K1173" i="1"/>
  <c r="K1172" i="1"/>
  <c r="K1171" i="1"/>
  <c r="C2694" i="1"/>
  <c r="D2694" i="1"/>
  <c r="E2694" i="1"/>
  <c r="C2692" i="1"/>
  <c r="D2692" i="1"/>
  <c r="C2691" i="1"/>
  <c r="D2691" i="1"/>
  <c r="D2687" i="1"/>
  <c r="C2687" i="1"/>
  <c r="F2686" i="1"/>
  <c r="E2686" i="1"/>
  <c r="F2682" i="1"/>
  <c r="E2682" i="1"/>
  <c r="D2677" i="1"/>
  <c r="C2677" i="1"/>
  <c r="F2678" i="1"/>
  <c r="F2674" i="1"/>
  <c r="F2676" i="1" s="1"/>
  <c r="E2674" i="1"/>
  <c r="E2676" i="1" s="1"/>
  <c r="F2661" i="1"/>
  <c r="E2661" i="1"/>
  <c r="F2655" i="1"/>
  <c r="E2655" i="1"/>
  <c r="D2646" i="1"/>
  <c r="C2646" i="1"/>
  <c r="E2643" i="1"/>
  <c r="E2645" i="1" s="1"/>
  <c r="E2646" i="1" s="1"/>
  <c r="F2535" i="1" s="1"/>
  <c r="F2643" i="1"/>
  <c r="F2645" i="1" s="1"/>
  <c r="F2546" i="1"/>
  <c r="F2551" i="1"/>
  <c r="F2557" i="1"/>
  <c r="F2576" i="1"/>
  <c r="F2566" i="1"/>
  <c r="E2576" i="1"/>
  <c r="E2566" i="1"/>
  <c r="E2557" i="1"/>
  <c r="E2546" i="1"/>
  <c r="E2551" i="1"/>
  <c r="D2533" i="1"/>
  <c r="C2533" i="1"/>
  <c r="F2530" i="1"/>
  <c r="E2530" i="1"/>
  <c r="F2526" i="1"/>
  <c r="E2526" i="1"/>
  <c r="F2512" i="1"/>
  <c r="E2512" i="1"/>
  <c r="F2507" i="1"/>
  <c r="E2507" i="1"/>
  <c r="F2497" i="1"/>
  <c r="F2503" i="1"/>
  <c r="E2497" i="1"/>
  <c r="E2503" i="1"/>
  <c r="D2489" i="1"/>
  <c r="C2489" i="1"/>
  <c r="F2488" i="1"/>
  <c r="E2488" i="1"/>
  <c r="F2480" i="1"/>
  <c r="E2480" i="1"/>
  <c r="D2471" i="1"/>
  <c r="C2471" i="1"/>
  <c r="F2470" i="1"/>
  <c r="E2470" i="1"/>
  <c r="F2465" i="1"/>
  <c r="E2465" i="1"/>
  <c r="D2458" i="1"/>
  <c r="C2458" i="1"/>
  <c r="F2457" i="1"/>
  <c r="E2457" i="1"/>
  <c r="E2452" i="1"/>
  <c r="F2452" i="1"/>
  <c r="J2575" i="1" l="1"/>
  <c r="K2575" i="1"/>
  <c r="K2577" i="1" s="1"/>
  <c r="D2699" i="1"/>
  <c r="C2699" i="1"/>
  <c r="E2687" i="1"/>
  <c r="F2679" i="1" s="1"/>
  <c r="F2687" i="1" s="1"/>
  <c r="E2663" i="1"/>
  <c r="E2677" i="1" s="1"/>
  <c r="F2648" i="1" s="1"/>
  <c r="F2663" i="1"/>
  <c r="E2578" i="1"/>
  <c r="F2553" i="1"/>
  <c r="F2578" i="1"/>
  <c r="E2553" i="1"/>
  <c r="F2532" i="1"/>
  <c r="E2532" i="1"/>
  <c r="F2514" i="1"/>
  <c r="E2514" i="1"/>
  <c r="E2489" i="1"/>
  <c r="F2473" i="1" s="1"/>
  <c r="F2489" i="1" s="1"/>
  <c r="E2471" i="1"/>
  <c r="F2460" i="1" s="1"/>
  <c r="F2471" i="1" s="1"/>
  <c r="E2458" i="1"/>
  <c r="F2447" i="1" s="1"/>
  <c r="F2458" i="1" s="1"/>
  <c r="F2677" i="1" l="1"/>
  <c r="F2580" i="1"/>
  <c r="F2646" i="1" s="1"/>
  <c r="E2533" i="1"/>
  <c r="F2491" i="1" s="1"/>
  <c r="F2533" i="1" s="1"/>
  <c r="D2445" i="1" l="1"/>
  <c r="C2445" i="1"/>
  <c r="F2444" i="1"/>
  <c r="E2444" i="1"/>
  <c r="F2438" i="1"/>
  <c r="E2438" i="1"/>
  <c r="E2445" i="1" l="1"/>
  <c r="F2432" i="1" s="1"/>
  <c r="F2445" i="1" s="1"/>
  <c r="D2430" i="1" l="1"/>
  <c r="C2430" i="1"/>
  <c r="E2427" i="1"/>
  <c r="F2427" i="1"/>
  <c r="F2420" i="1"/>
  <c r="E2420" i="1"/>
  <c r="F2409" i="1"/>
  <c r="E2409" i="1"/>
  <c r="F2398" i="1"/>
  <c r="F2400" i="1" s="1"/>
  <c r="E2398" i="1"/>
  <c r="E2400" i="1" s="1"/>
  <c r="D2389" i="1"/>
  <c r="C2389" i="1"/>
  <c r="F2386" i="1"/>
  <c r="E2386" i="1"/>
  <c r="F2381" i="1"/>
  <c r="E2381" i="1"/>
  <c r="E2354" i="1"/>
  <c r="F2354" i="1"/>
  <c r="E2336" i="1"/>
  <c r="F2336" i="1"/>
  <c r="F2284" i="1"/>
  <c r="E2284" i="1"/>
  <c r="F2279" i="1"/>
  <c r="E2279" i="1"/>
  <c r="F2274" i="1"/>
  <c r="E2274" i="1"/>
  <c r="F2270" i="1"/>
  <c r="E2270" i="1"/>
  <c r="F2264" i="1"/>
  <c r="E2264" i="1"/>
  <c r="F2260" i="1"/>
  <c r="E2260" i="1"/>
  <c r="F2247" i="1"/>
  <c r="E2247" i="1"/>
  <c r="F2237" i="1"/>
  <c r="E2237" i="1"/>
  <c r="E2224" i="1"/>
  <c r="F2224" i="1"/>
  <c r="F2218" i="1"/>
  <c r="E2218" i="1"/>
  <c r="D2209" i="1"/>
  <c r="C2209" i="1"/>
  <c r="F2206" i="1"/>
  <c r="F2208" i="1" s="1"/>
  <c r="E2206" i="1"/>
  <c r="E2208" i="1" s="1"/>
  <c r="E2209" i="1" s="1"/>
  <c r="F2199" i="1" s="1"/>
  <c r="D2197" i="1"/>
  <c r="C2197" i="1"/>
  <c r="F2194" i="1"/>
  <c r="F2196" i="1" s="1"/>
  <c r="E2194" i="1"/>
  <c r="E2196" i="1" s="1"/>
  <c r="F2185" i="1"/>
  <c r="F2187" i="1" s="1"/>
  <c r="E2185" i="1"/>
  <c r="E2187" i="1" s="1"/>
  <c r="D2176" i="1"/>
  <c r="C2176" i="1"/>
  <c r="E2167" i="1"/>
  <c r="F2167" i="1"/>
  <c r="F2153" i="1"/>
  <c r="E2153" i="1"/>
  <c r="F2140" i="1"/>
  <c r="F2132" i="1"/>
  <c r="E2140" i="1"/>
  <c r="E2132" i="1"/>
  <c r="D2124" i="1"/>
  <c r="C2124" i="1"/>
  <c r="F2121" i="1"/>
  <c r="E2121" i="1"/>
  <c r="E2115" i="1"/>
  <c r="F2115" i="1"/>
  <c r="E2095" i="1"/>
  <c r="F2095" i="1"/>
  <c r="F2071" i="1"/>
  <c r="E2071" i="1"/>
  <c r="F2032" i="1"/>
  <c r="E2032" i="1"/>
  <c r="E2026" i="1"/>
  <c r="F2026" i="1"/>
  <c r="F2002" i="1"/>
  <c r="E2002" i="1"/>
  <c r="F1967" i="1"/>
  <c r="F1972" i="1" s="1"/>
  <c r="E1967" i="1"/>
  <c r="E1972" i="1" s="1"/>
  <c r="F1961" i="1"/>
  <c r="E1961" i="1"/>
  <c r="F1950" i="1"/>
  <c r="E1950" i="1"/>
  <c r="F1955" i="1"/>
  <c r="E1955" i="1"/>
  <c r="E1935" i="1"/>
  <c r="E1937" i="1" s="1"/>
  <c r="F1935" i="1"/>
  <c r="F1937" i="1" s="1"/>
  <c r="D1913" i="1"/>
  <c r="C1913" i="1"/>
  <c r="F1910" i="1"/>
  <c r="E1910" i="1"/>
  <c r="E1905" i="1"/>
  <c r="F1905" i="1"/>
  <c r="F1900" i="1"/>
  <c r="E1900" i="1"/>
  <c r="F1879" i="1"/>
  <c r="E1879" i="1"/>
  <c r="E1851" i="1"/>
  <c r="F1851" i="1"/>
  <c r="F1813" i="1"/>
  <c r="E1813" i="1"/>
  <c r="F1786" i="1"/>
  <c r="E1786" i="1"/>
  <c r="F1750" i="1"/>
  <c r="E1750" i="1"/>
  <c r="F1738" i="1"/>
  <c r="E1738" i="1"/>
  <c r="F1734" i="1"/>
  <c r="E1734" i="1"/>
  <c r="F1727" i="1"/>
  <c r="E1727" i="1"/>
  <c r="F1721" i="1"/>
  <c r="E1721" i="1"/>
  <c r="E1707" i="1"/>
  <c r="E1709" i="1" s="1"/>
  <c r="F1707" i="1"/>
  <c r="F1709" i="1" s="1"/>
  <c r="E1684" i="1"/>
  <c r="F1684" i="1"/>
  <c r="F1678" i="1"/>
  <c r="E1678" i="1"/>
  <c r="D1671" i="1"/>
  <c r="C1671" i="1"/>
  <c r="F1664" i="1"/>
  <c r="F1670" i="1" s="1"/>
  <c r="E1664" i="1"/>
  <c r="E1670" i="1" s="1"/>
  <c r="F1647" i="1"/>
  <c r="F1651" i="1" s="1"/>
  <c r="E1647" i="1"/>
  <c r="E1651" i="1" s="1"/>
  <c r="D1627" i="1"/>
  <c r="C1627" i="1"/>
  <c r="F1626" i="1"/>
  <c r="E1626" i="1"/>
  <c r="F1616" i="1"/>
  <c r="E1616" i="1"/>
  <c r="D1606" i="1"/>
  <c r="C1606" i="1"/>
  <c r="F1605" i="1"/>
  <c r="E1605" i="1"/>
  <c r="F1598" i="1"/>
  <c r="E1598" i="1"/>
  <c r="D1589" i="1"/>
  <c r="C1589" i="1"/>
  <c r="E1588" i="1"/>
  <c r="F1588" i="1"/>
  <c r="E1579" i="1"/>
  <c r="F1579" i="1"/>
  <c r="D1571" i="1"/>
  <c r="C1571" i="1"/>
  <c r="F1570" i="1"/>
  <c r="E1570" i="1"/>
  <c r="E1566" i="1"/>
  <c r="F1566" i="1"/>
  <c r="D1557" i="1"/>
  <c r="C1557" i="1"/>
  <c r="F1549" i="1"/>
  <c r="E1549" i="1"/>
  <c r="F1554" i="1"/>
  <c r="E1554" i="1"/>
  <c r="F1542" i="1"/>
  <c r="E1542" i="1"/>
  <c r="F1537" i="1"/>
  <c r="E1537" i="1"/>
  <c r="D1529" i="1"/>
  <c r="C1529" i="1"/>
  <c r="F1523" i="1"/>
  <c r="E1523" i="1"/>
  <c r="F1518" i="1"/>
  <c r="E1518" i="1"/>
  <c r="E1511" i="1"/>
  <c r="F1511" i="1"/>
  <c r="F1493" i="1"/>
  <c r="E1493" i="1"/>
  <c r="F1498" i="1"/>
  <c r="E1498" i="1"/>
  <c r="D1484" i="1"/>
  <c r="C1484" i="1"/>
  <c r="F1481" i="1"/>
  <c r="E1481" i="1"/>
  <c r="F1477" i="1"/>
  <c r="E1477" i="1"/>
  <c r="F1470" i="1"/>
  <c r="E1470" i="1"/>
  <c r="F1466" i="1"/>
  <c r="E1466" i="1"/>
  <c r="D1458" i="1"/>
  <c r="C1458" i="1"/>
  <c r="F1457" i="1"/>
  <c r="E1457" i="1"/>
  <c r="F1452" i="1"/>
  <c r="F1454" i="1" s="1"/>
  <c r="E1452" i="1"/>
  <c r="E1454" i="1" s="1"/>
  <c r="D1444" i="1"/>
  <c r="C1444" i="1"/>
  <c r="F1441" i="1"/>
  <c r="E1441" i="1"/>
  <c r="F1437" i="1"/>
  <c r="E1437" i="1"/>
  <c r="F1433" i="1"/>
  <c r="E1433" i="1"/>
  <c r="F1419" i="1"/>
  <c r="F1415" i="1"/>
  <c r="F1426" i="1"/>
  <c r="E1426" i="1"/>
  <c r="E1419" i="1"/>
  <c r="E1415" i="1"/>
  <c r="D1405" i="1"/>
  <c r="C1405" i="1"/>
  <c r="F1402" i="1"/>
  <c r="E1402" i="1"/>
  <c r="F1397" i="1"/>
  <c r="E1397" i="1"/>
  <c r="F1389" i="1"/>
  <c r="E1389" i="1"/>
  <c r="F1383" i="1"/>
  <c r="E1383" i="1"/>
  <c r="D1374" i="1"/>
  <c r="C1374" i="1"/>
  <c r="E1373" i="1"/>
  <c r="F1373" i="1"/>
  <c r="F1354" i="1"/>
  <c r="F1356" i="1" s="1"/>
  <c r="E1354" i="1"/>
  <c r="E1356" i="1" s="1"/>
  <c r="D1344" i="1"/>
  <c r="C1344" i="1"/>
  <c r="F1343" i="1"/>
  <c r="E1343" i="1"/>
  <c r="F1331" i="1"/>
  <c r="E1331" i="1"/>
  <c r="D1326" i="1"/>
  <c r="C1326" i="1"/>
  <c r="F1325" i="1"/>
  <c r="E1325" i="1"/>
  <c r="F1316" i="1"/>
  <c r="E1316" i="1"/>
  <c r="D1310" i="1"/>
  <c r="C1310" i="1"/>
  <c r="F1309" i="1"/>
  <c r="E1309" i="1"/>
  <c r="F1301" i="1"/>
  <c r="E1301" i="1"/>
  <c r="F1294" i="1"/>
  <c r="E1294" i="1"/>
  <c r="D1287" i="1"/>
  <c r="C1287" i="1"/>
  <c r="F1286" i="1"/>
  <c r="E1286" i="1"/>
  <c r="F1281" i="1"/>
  <c r="E1281" i="1"/>
  <c r="F1275" i="1"/>
  <c r="E1275" i="1"/>
  <c r="D1268" i="1"/>
  <c r="C1268" i="1"/>
  <c r="F1265" i="1"/>
  <c r="F1267" i="1" s="1"/>
  <c r="E1265" i="1"/>
  <c r="E1267" i="1" s="1"/>
  <c r="F1259" i="1"/>
  <c r="E1259" i="1"/>
  <c r="F1253" i="1"/>
  <c r="E1253" i="1"/>
  <c r="D1244" i="1"/>
  <c r="C1244" i="1"/>
  <c r="E1243" i="1"/>
  <c r="F1243" i="1"/>
  <c r="F1234" i="1"/>
  <c r="F1228" i="1"/>
  <c r="F1221" i="1"/>
  <c r="E1234" i="1"/>
  <c r="E1228" i="1"/>
  <c r="E1221" i="1"/>
  <c r="D1213" i="1"/>
  <c r="F1202" i="1"/>
  <c r="F1204" i="1" s="1"/>
  <c r="E1202" i="1"/>
  <c r="E1204" i="1" s="1"/>
  <c r="F1196" i="1"/>
  <c r="E1196" i="1"/>
  <c r="F1212" i="1"/>
  <c r="E1212" i="1"/>
  <c r="C1213" i="1"/>
  <c r="D1188" i="1"/>
  <c r="C1188" i="1"/>
  <c r="F1168" i="1"/>
  <c r="E1168" i="1"/>
  <c r="E1156" i="1"/>
  <c r="F1156" i="1"/>
  <c r="F1139" i="1"/>
  <c r="E1139" i="1"/>
  <c r="F1124" i="1"/>
  <c r="E1124" i="1"/>
  <c r="E1120" i="1"/>
  <c r="F1120" i="1"/>
  <c r="E1090" i="1"/>
  <c r="F1090" i="1"/>
  <c r="F1064" i="1"/>
  <c r="E1064" i="1"/>
  <c r="E1053" i="1"/>
  <c r="F1053" i="1"/>
  <c r="F1009" i="1"/>
  <c r="E1009" i="1"/>
  <c r="F996" i="1"/>
  <c r="E996" i="1"/>
  <c r="F988" i="1"/>
  <c r="F980" i="1"/>
  <c r="E988" i="1"/>
  <c r="E980" i="1"/>
  <c r="F967" i="1"/>
  <c r="E967" i="1"/>
  <c r="F961" i="1"/>
  <c r="E961" i="1"/>
  <c r="F955" i="1"/>
  <c r="E955" i="1"/>
  <c r="F940" i="1"/>
  <c r="E940" i="1"/>
  <c r="F936" i="1"/>
  <c r="E936" i="1"/>
  <c r="D927" i="1"/>
  <c r="C927" i="1"/>
  <c r="F926" i="1"/>
  <c r="E926" i="1"/>
  <c r="F909" i="1"/>
  <c r="E909" i="1"/>
  <c r="E2429" i="1" l="1"/>
  <c r="E2411" i="1"/>
  <c r="F2429" i="1"/>
  <c r="F2411" i="1"/>
  <c r="F2388" i="1"/>
  <c r="E2388" i="1"/>
  <c r="F2286" i="1"/>
  <c r="E2286" i="1"/>
  <c r="F2209" i="1"/>
  <c r="E2266" i="1"/>
  <c r="F2266" i="1"/>
  <c r="E2249" i="1"/>
  <c r="F2249" i="1"/>
  <c r="F2228" i="1"/>
  <c r="E2228" i="1"/>
  <c r="E2197" i="1"/>
  <c r="F2178" i="1" s="1"/>
  <c r="F2197" i="1" s="1"/>
  <c r="E2175" i="1"/>
  <c r="F2175" i="1"/>
  <c r="E2142" i="1"/>
  <c r="F2142" i="1"/>
  <c r="F2123" i="1"/>
  <c r="E2123" i="1"/>
  <c r="E1957" i="1"/>
  <c r="E1974" i="1" s="1"/>
  <c r="F1957" i="1"/>
  <c r="F1974" i="1" s="1"/>
  <c r="E1912" i="1"/>
  <c r="F1912" i="1"/>
  <c r="F1740" i="1"/>
  <c r="E1740" i="1"/>
  <c r="F1729" i="1"/>
  <c r="E1729" i="1"/>
  <c r="E1671" i="1"/>
  <c r="F1629" i="1" s="1"/>
  <c r="F1671" i="1" s="1"/>
  <c r="E1627" i="1"/>
  <c r="F1608" i="1" s="1"/>
  <c r="F1627" i="1" s="1"/>
  <c r="E1606" i="1"/>
  <c r="F1591" i="1" s="1"/>
  <c r="F1606" i="1" s="1"/>
  <c r="E1571" i="1"/>
  <c r="F1559" i="1" s="1"/>
  <c r="F1571" i="1" s="1"/>
  <c r="E1589" i="1"/>
  <c r="F1573" i="1" s="1"/>
  <c r="F1589" i="1" s="1"/>
  <c r="F1556" i="1"/>
  <c r="E1556" i="1"/>
  <c r="F1544" i="1"/>
  <c r="E1544" i="1"/>
  <c r="E1528" i="1"/>
  <c r="F1528" i="1"/>
  <c r="E1513" i="1"/>
  <c r="F1513" i="1"/>
  <c r="F1421" i="1"/>
  <c r="F1428" i="1" s="1"/>
  <c r="F1483" i="1"/>
  <c r="E1483" i="1"/>
  <c r="E1472" i="1"/>
  <c r="F1472" i="1"/>
  <c r="E1458" i="1"/>
  <c r="F1446" i="1" s="1"/>
  <c r="F1458" i="1" s="1"/>
  <c r="E1443" i="1"/>
  <c r="F1443" i="1"/>
  <c r="E1421" i="1"/>
  <c r="E1428" i="1" s="1"/>
  <c r="E1404" i="1"/>
  <c r="F1404" i="1"/>
  <c r="E1391" i="1"/>
  <c r="F1391" i="1"/>
  <c r="E1374" i="1"/>
  <c r="F1346" i="1" s="1"/>
  <c r="F1374" i="1" s="1"/>
  <c r="E1344" i="1"/>
  <c r="F1328" i="1" s="1"/>
  <c r="F1344" i="1" s="1"/>
  <c r="E1326" i="1"/>
  <c r="F1312" i="1" s="1"/>
  <c r="F1326" i="1" s="1"/>
  <c r="E1303" i="1"/>
  <c r="E1310" i="1" s="1"/>
  <c r="F1289" i="1" s="1"/>
  <c r="F1303" i="1"/>
  <c r="E1283" i="1"/>
  <c r="E1287" i="1" s="1"/>
  <c r="F1270" i="1" s="1"/>
  <c r="F1283" i="1"/>
  <c r="F1261" i="1"/>
  <c r="E1261" i="1"/>
  <c r="E1268" i="1" s="1"/>
  <c r="F1246" i="1" s="1"/>
  <c r="F1236" i="1"/>
  <c r="E1236" i="1"/>
  <c r="E1244" i="1" s="1"/>
  <c r="F1215" i="1" s="1"/>
  <c r="F1206" i="1"/>
  <c r="E1206" i="1"/>
  <c r="E1213" i="1" s="1"/>
  <c r="F1190" i="1" s="1"/>
  <c r="E1187" i="1"/>
  <c r="F1187" i="1"/>
  <c r="E990" i="1"/>
  <c r="E1011" i="1"/>
  <c r="F1011" i="1"/>
  <c r="F990" i="1"/>
  <c r="E969" i="1"/>
  <c r="F969" i="1"/>
  <c r="E927" i="1"/>
  <c r="F899" i="1" s="1"/>
  <c r="F927" i="1" s="1"/>
  <c r="E2430" i="1" l="1"/>
  <c r="F2391" i="1" s="1"/>
  <c r="F2430" i="1" s="1"/>
  <c r="E2288" i="1"/>
  <c r="E2389" i="1" s="1"/>
  <c r="F2211" i="1" s="1"/>
  <c r="F2288" i="1"/>
  <c r="E2176" i="1"/>
  <c r="F2126" i="1" s="1"/>
  <c r="F2176" i="1" s="1"/>
  <c r="E2124" i="1"/>
  <c r="F1915" i="1" s="1"/>
  <c r="F2124" i="1" s="1"/>
  <c r="E1754" i="1"/>
  <c r="E1913" i="1" s="1"/>
  <c r="F1673" i="1" s="1"/>
  <c r="F1754" i="1"/>
  <c r="E1557" i="1"/>
  <c r="F1531" i="1" s="1"/>
  <c r="F1557" i="1" s="1"/>
  <c r="E1529" i="1"/>
  <c r="F1486" i="1" s="1"/>
  <c r="F1529" i="1" s="1"/>
  <c r="E1484" i="1"/>
  <c r="F1460" i="1" s="1"/>
  <c r="F1484" i="1" s="1"/>
  <c r="E1444" i="1"/>
  <c r="F1407" i="1" s="1"/>
  <c r="F1444" i="1" s="1"/>
  <c r="E1405" i="1"/>
  <c r="F1376" i="1" s="1"/>
  <c r="F1405" i="1" s="1"/>
  <c r="F1310" i="1"/>
  <c r="F1287" i="1"/>
  <c r="F1268" i="1"/>
  <c r="F1244" i="1"/>
  <c r="F1213" i="1"/>
  <c r="F1013" i="1"/>
  <c r="E1013" i="1"/>
  <c r="E1188" i="1" s="1"/>
  <c r="F929" i="1" s="1"/>
  <c r="F2389" i="1" l="1"/>
  <c r="F1913" i="1"/>
  <c r="F1188" i="1"/>
  <c r="D897" i="1" l="1"/>
  <c r="C897" i="1"/>
  <c r="F874" i="1"/>
  <c r="E874" i="1"/>
  <c r="E869" i="1"/>
  <c r="F869" i="1"/>
  <c r="F863" i="1"/>
  <c r="E863" i="1"/>
  <c r="F853" i="1"/>
  <c r="E853" i="1"/>
  <c r="F839" i="1"/>
  <c r="F841" i="1" s="1"/>
  <c r="E839" i="1"/>
  <c r="E841" i="1" s="1"/>
  <c r="F846" i="1"/>
  <c r="E846" i="1"/>
  <c r="C854" i="1"/>
  <c r="D854" i="1"/>
  <c r="C831" i="1"/>
  <c r="D831" i="1"/>
  <c r="F818" i="1"/>
  <c r="F820" i="1" s="1"/>
  <c r="E818" i="1"/>
  <c r="E820" i="1" s="1"/>
  <c r="E825" i="1"/>
  <c r="F825" i="1"/>
  <c r="F876" i="1" l="1"/>
  <c r="F881" i="1" s="1"/>
  <c r="E876" i="1"/>
  <c r="E881" i="1" s="1"/>
  <c r="E897" i="1" s="1"/>
  <c r="F856" i="1" s="1"/>
  <c r="E848" i="1"/>
  <c r="E854" i="1" s="1"/>
  <c r="F833" i="1" s="1"/>
  <c r="F848" i="1"/>
  <c r="F827" i="1"/>
  <c r="E827" i="1"/>
  <c r="E831" i="1" s="1"/>
  <c r="F812" i="1" s="1"/>
  <c r="F897" i="1" l="1"/>
  <c r="F854" i="1"/>
  <c r="F831" i="1"/>
  <c r="C810" i="1" l="1"/>
  <c r="D810" i="1"/>
  <c r="F804" i="1"/>
  <c r="E804" i="1"/>
  <c r="F798" i="1"/>
  <c r="F800" i="1" s="1"/>
  <c r="E798" i="1"/>
  <c r="E800" i="1" s="1"/>
  <c r="E806" i="1" l="1"/>
  <c r="E810" i="1" s="1"/>
  <c r="F792" i="1" s="1"/>
  <c r="F806" i="1"/>
  <c r="F810" i="1" l="1"/>
  <c r="C790" i="1" l="1"/>
  <c r="C2695" i="1" s="1"/>
  <c r="C2700" i="1" s="1"/>
  <c r="D790" i="1"/>
  <c r="D2695" i="1" s="1"/>
  <c r="D2700" i="1" s="1"/>
  <c r="C566" i="1" l="1"/>
  <c r="D566" i="1"/>
  <c r="E787" i="1"/>
  <c r="F787" i="1"/>
  <c r="F769" i="1"/>
  <c r="E769" i="1"/>
  <c r="E763" i="1"/>
  <c r="F763" i="1"/>
  <c r="F729" i="1"/>
  <c r="E729" i="1"/>
  <c r="E723" i="1"/>
  <c r="F723" i="1"/>
  <c r="E713" i="1"/>
  <c r="F713" i="1"/>
  <c r="F670" i="1"/>
  <c r="E670" i="1"/>
  <c r="F666" i="1"/>
  <c r="E666" i="1"/>
  <c r="E662" i="1"/>
  <c r="F662" i="1"/>
  <c r="E647" i="1"/>
  <c r="F647" i="1"/>
  <c r="E617" i="1"/>
  <c r="F617" i="1"/>
  <c r="F612" i="1"/>
  <c r="E612" i="1"/>
  <c r="F725" i="1" l="1"/>
  <c r="E725" i="1"/>
  <c r="E585" i="1"/>
  <c r="E587" i="1" s="1"/>
  <c r="F585" i="1"/>
  <c r="F587" i="1" s="1"/>
  <c r="E564" i="1"/>
  <c r="F564" i="1"/>
  <c r="E507" i="1"/>
  <c r="F507" i="1"/>
  <c r="F492" i="1"/>
  <c r="E492" i="1"/>
  <c r="E481" i="1"/>
  <c r="F481" i="1"/>
  <c r="E429" i="1"/>
  <c r="F429" i="1"/>
  <c r="E422" i="1"/>
  <c r="F422" i="1"/>
  <c r="F403" i="1"/>
  <c r="E403" i="1"/>
  <c r="F381" i="1"/>
  <c r="E381" i="1"/>
  <c r="F365" i="1"/>
  <c r="E365" i="1"/>
  <c r="E343" i="1"/>
  <c r="F343" i="1"/>
  <c r="E314" i="1"/>
  <c r="F314" i="1"/>
  <c r="F298" i="1"/>
  <c r="E298" i="1"/>
  <c r="E293" i="1"/>
  <c r="F293" i="1"/>
  <c r="E280" i="1"/>
  <c r="F280" i="1"/>
  <c r="E220" i="1"/>
  <c r="F220" i="1"/>
  <c r="F176" i="1"/>
  <c r="E176" i="1"/>
  <c r="F103" i="1"/>
  <c r="F105" i="1" s="1"/>
  <c r="E103" i="1"/>
  <c r="E105" i="1" s="1"/>
  <c r="E95" i="1"/>
  <c r="F68" i="1"/>
  <c r="E68" i="1"/>
  <c r="E57" i="1"/>
  <c r="F95" i="1"/>
  <c r="F86" i="1"/>
  <c r="E86" i="1"/>
  <c r="F57" i="1"/>
  <c r="F49" i="1"/>
  <c r="E49" i="1"/>
  <c r="F25" i="1"/>
  <c r="E25" i="1"/>
  <c r="F18" i="1"/>
  <c r="E18" i="1"/>
  <c r="F566" i="1" l="1"/>
  <c r="E566" i="1"/>
  <c r="E789" i="1" s="1"/>
  <c r="E2691" i="1" s="1"/>
  <c r="F789" i="1"/>
  <c r="F2691" i="1" s="1"/>
  <c r="F51" i="1"/>
  <c r="F98" i="1"/>
  <c r="E98" i="1"/>
  <c r="E51" i="1"/>
  <c r="E303" i="1" l="1"/>
  <c r="F303" i="1"/>
  <c r="F2692" i="1" s="1"/>
  <c r="E790" i="1" l="1"/>
  <c r="E2692" i="1"/>
  <c r="E2699" i="1" s="1"/>
  <c r="F6" i="1" l="1"/>
  <c r="E2695" i="1"/>
  <c r="E2700" i="1" s="1"/>
  <c r="F2694" i="1" l="1"/>
  <c r="F2699" i="1" s="1"/>
  <c r="F790" i="1"/>
  <c r="F2695" i="1" s="1"/>
  <c r="F2700" i="1" l="1"/>
  <c r="K38" i="20" l="1"/>
  <c r="K47" i="20" s="1"/>
  <c r="M38" i="20"/>
  <c r="M37" i="20"/>
  <c r="M47" i="20" s="1"/>
  <c r="L37" i="20"/>
  <c r="L47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Danielle Ingham</author>
  </authors>
  <commentList>
    <comment ref="J741" authorId="0" shapeId="0" xr:uid="{F617E078-12B1-4C77-88EB-9BE8B6DB4768}">
      <text>
        <r>
          <rPr>
            <b/>
            <sz val="9"/>
            <color indexed="81"/>
            <rFont val="Tahoma"/>
            <family val="2"/>
          </rPr>
          <t>Danielle Ingham:</t>
        </r>
        <r>
          <rPr>
            <sz val="9"/>
            <color indexed="81"/>
            <rFont val="Tahoma"/>
            <family val="2"/>
          </rPr>
          <t xml:space="preserve">
Patti and 50% Ruth</t>
        </r>
      </text>
    </comment>
    <comment ref="J746" authorId="0" shapeId="0" xr:uid="{FC03688A-9A91-4549-8D0B-C6ECC8BAD006}">
      <text>
        <r>
          <rPr>
            <b/>
            <sz val="9"/>
            <color indexed="81"/>
            <rFont val="Tahoma"/>
            <family val="2"/>
          </rPr>
          <t>Danielle Ingham:</t>
        </r>
        <r>
          <rPr>
            <sz val="9"/>
            <color indexed="81"/>
            <rFont val="Tahoma"/>
            <family val="2"/>
          </rPr>
          <t xml:space="preserve">
50% of Ruth's insurance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Moothart</author>
  </authors>
  <commentList>
    <comment ref="B78" authorId="0" shapeId="0" xr:uid="{374B9C45-53C7-4A2D-935F-592B796A4218}">
      <text>
        <r>
          <rPr>
            <b/>
            <sz val="9"/>
            <color indexed="81"/>
            <rFont val="Tahoma"/>
            <family val="2"/>
          </rPr>
          <t>Rachel Moothart:</t>
        </r>
        <r>
          <rPr>
            <sz val="9"/>
            <color indexed="81"/>
            <rFont val="Tahoma"/>
            <family val="2"/>
          </rPr>
          <t xml:space="preserve">
Only specific projects on 20 year project plan - ask KR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Rachel Moothart</author>
  </authors>
  <commentList>
    <comment ref="B1003" authorId="0" shapeId="0" xr:uid="{0D57DCD9-EED1-45CA-ABFF-BCB140B186CF}">
      <text>
        <r>
          <rPr>
            <b/>
            <sz val="9"/>
            <color indexed="81"/>
            <rFont val="Tahoma"/>
            <family val="2"/>
          </rPr>
          <t>Rachel Moothart:</t>
        </r>
        <r>
          <rPr>
            <sz val="9"/>
            <color indexed="81"/>
            <rFont val="Tahoma"/>
            <family val="2"/>
          </rPr>
          <t xml:space="preserve">
Only specific projects on 20 year project plan - ask KR</t>
        </r>
      </text>
    </comment>
  </commentList>
</comments>
</file>

<file path=xl/sharedStrings.xml><?xml version="1.0" encoding="utf-8"?>
<sst xmlns="http://schemas.openxmlformats.org/spreadsheetml/2006/main" count="26869" uniqueCount="4192">
  <si>
    <t>Account Number</t>
  </si>
  <si>
    <t>Description</t>
  </si>
  <si>
    <t/>
  </si>
  <si>
    <t>Current Expense Fund</t>
  </si>
  <si>
    <t>                Total Operating Expenditures</t>
  </si>
  <si>
    <t>          Legislative</t>
  </si>
  <si>
    <t>001-000-001-511-30-41-00</t>
  </si>
  <si>
    <t>Publication Services</t>
  </si>
  <si>
    <t>001-000-001-511-60-10-00</t>
  </si>
  <si>
    <t>Council Salaries</t>
  </si>
  <si>
    <t>001-000-001-511-60-21-04</t>
  </si>
  <si>
    <t>Benefits-Social Security</t>
  </si>
  <si>
    <t>001-000-001-511-60-21-05</t>
  </si>
  <si>
    <t>Benefits - PFML</t>
  </si>
  <si>
    <t>001-000-001-511-60-40-00</t>
  </si>
  <si>
    <t>Computer Repair &amp; Replacement - Fund 510</t>
  </si>
  <si>
    <t>001-000-001-511-60-43-00</t>
  </si>
  <si>
    <t>Travel</t>
  </si>
  <si>
    <t>001-000-001-511-60-49-00</t>
  </si>
  <si>
    <t>Miscellaneous-Recognition Plqs</t>
  </si>
  <si>
    <t>001-000-001-511-60-49-01</t>
  </si>
  <si>
    <t>Misc &amp; Registrations &amp; Tuition</t>
  </si>
  <si>
    <t>          Total Legislative</t>
  </si>
  <si>
    <t>            Municipal Court</t>
  </si>
  <si>
    <t>001-000-002-512-50-10-01</t>
  </si>
  <si>
    <t>Salaries-Judge</t>
  </si>
  <si>
    <t>001-000-002-512-50-10-02</t>
  </si>
  <si>
    <t>Salaries-Staff</t>
  </si>
  <si>
    <t>001-000-002-512-50-21-01</t>
  </si>
  <si>
    <t>Benefits-Medical</t>
  </si>
  <si>
    <t>001-000-002-512-50-21-02</t>
  </si>
  <si>
    <t>Benefits-L&amp;I</t>
  </si>
  <si>
    <t>001-000-002-512-50-21-03</t>
  </si>
  <si>
    <t>Benefits-Retirement</t>
  </si>
  <si>
    <t>001-000-002-512-50-21-04</t>
  </si>
  <si>
    <t>001-000-002-512-50-21-06</t>
  </si>
  <si>
    <t>001-000-002-512-50-31-00</t>
  </si>
  <si>
    <t>Office Supplies</t>
  </si>
  <si>
    <t>001-000-002-512-50-31-10</t>
  </si>
  <si>
    <t>O &amp; M Supplies</t>
  </si>
  <si>
    <t>001-000-002-512-50-40-00</t>
  </si>
  <si>
    <t>Computer Repair &amp; Replacement</t>
  </si>
  <si>
    <t>001-000-002-512-50-40-01</t>
  </si>
  <si>
    <t>Vehicle Rental Fund 550</t>
  </si>
  <si>
    <t>001-000-002-512-50-41-00</t>
  </si>
  <si>
    <t>Court Appointed Attorney</t>
  </si>
  <si>
    <t>001-000-002-512-50-41-01</t>
  </si>
  <si>
    <t>Prosecutor</t>
  </si>
  <si>
    <t>001-000-002-512-50-41-02</t>
  </si>
  <si>
    <t>Other Professional Services</t>
  </si>
  <si>
    <t>001-000-002-512-50-41-03</t>
  </si>
  <si>
    <t>Professional Svcs-Interpreters</t>
  </si>
  <si>
    <t>001-000-002-512-50-41-04</t>
  </si>
  <si>
    <t>Prosecutor - Expenses</t>
  </si>
  <si>
    <t>001-000-002-512-50-41-05</t>
  </si>
  <si>
    <t>Professional Services - Judge</t>
  </si>
  <si>
    <t>001-000-002-512-50-42-00</t>
  </si>
  <si>
    <t>Phone</t>
  </si>
  <si>
    <t>001-000-002-512-50-42-01</t>
  </si>
  <si>
    <t>Postage</t>
  </si>
  <si>
    <t>001-000-002-512-50-43-00</t>
  </si>
  <si>
    <t>001-000-002-512-50-45-02</t>
  </si>
  <si>
    <t>Copy Machine Maintenance</t>
  </si>
  <si>
    <t>001-000-002-512-50-49-00</t>
  </si>
  <si>
    <t>Miscellaneous</t>
  </si>
  <si>
    <t>001-000-002-512-50-49-04</t>
  </si>
  <si>
    <t>Training</t>
  </si>
  <si>
    <t>001-000-002-512-50-49-05</t>
  </si>
  <si>
    <t>Jury Duty Per Diem/Mileage/Juror &amp; Witness Fees</t>
  </si>
  <si>
    <t>001-000-002-512-50-49-06</t>
  </si>
  <si>
    <t>Professional Dues</t>
  </si>
  <si>
    <t>001-000-002-512-50-49-07</t>
  </si>
  <si>
    <t>Publications</t>
  </si>
  <si>
    <t>            Total Municipal Court</t>
  </si>
  <si>
    <t>          Executive</t>
  </si>
  <si>
    <t>001-000-003-513-10-10-01</t>
  </si>
  <si>
    <t>Salaries-Administrator</t>
  </si>
  <si>
    <t>001-000-003-513-10-10-02</t>
  </si>
  <si>
    <t>Salaries-Mayor</t>
  </si>
  <si>
    <t>001-000-003-513-10-21-01</t>
  </si>
  <si>
    <t>001-000-003-513-10-21-02</t>
  </si>
  <si>
    <t>Benefits L &amp; I</t>
  </si>
  <si>
    <t>001-000-003-513-10-21-04</t>
  </si>
  <si>
    <t>001-000-003-513-10-21-05</t>
  </si>
  <si>
    <t>001-000-003-513-10-21-08</t>
  </si>
  <si>
    <t>HSA City Contribution</t>
  </si>
  <si>
    <t>001-000-003-513-10-21-10</t>
  </si>
  <si>
    <t>001-000-003-513-10-31-00</t>
  </si>
  <si>
    <t>Office Supplies/books</t>
  </si>
  <si>
    <t>001-000-003-513-10-35-01</t>
  </si>
  <si>
    <t>Minor Office Equipment</t>
  </si>
  <si>
    <t>001-000-003-513-10-40-00</t>
  </si>
  <si>
    <t>Equipment Rental Fund 550</t>
  </si>
  <si>
    <t>001-000-003-513-10-40-01</t>
  </si>
  <si>
    <t>001-000-003-513-10-41-00</t>
  </si>
  <si>
    <t>Professional Services</t>
  </si>
  <si>
    <t>001-000-003-513-10-41-01</t>
  </si>
  <si>
    <t>Professional Services - Lobbyist</t>
  </si>
  <si>
    <t>001-000-003-513-10-42-00</t>
  </si>
  <si>
    <t>Cell Phone</t>
  </si>
  <si>
    <t>001-000-003-513-10-43-00</t>
  </si>
  <si>
    <t>001-000-003-513-10-49-00</t>
  </si>
  <si>
    <t>001-000-003-513-10-49-02</t>
  </si>
  <si>
    <t>001-000-003-513-10-49-03</t>
  </si>
  <si>
    <t>Misc. Business &amp; Citizen Engagement</t>
  </si>
  <si>
    <t>          Total Executive</t>
  </si>
  <si>
    <t>          Administrative Services</t>
  </si>
  <si>
    <t>001-000-003-514-20-10-01</t>
  </si>
  <si>
    <t>Salaries</t>
  </si>
  <si>
    <t>001-000-003-514-20-21-01</t>
  </si>
  <si>
    <t>001-000-003-514-20-21-02</t>
  </si>
  <si>
    <t>001-000-003-514-20-21-03</t>
  </si>
  <si>
    <t>001-000-003-514-20-21-04</t>
  </si>
  <si>
    <t>Benefits-Social Security/Medicare</t>
  </si>
  <si>
    <t>001-000-003-514-20-21-05</t>
  </si>
  <si>
    <t>001-000-003-514-20-31-00</t>
  </si>
  <si>
    <t>001-000-003-514-20-31-11</t>
  </si>
  <si>
    <t>001-000-003-514-20-40-00</t>
  </si>
  <si>
    <t>001-000-003-514-20-40-01</t>
  </si>
  <si>
    <t>Computer Repair and Replacement</t>
  </si>
  <si>
    <t>001-000-003-514-20-43-02</t>
  </si>
  <si>
    <t>001-000-003-514-20-49-01</t>
  </si>
  <si>
    <t>001-000-003-514-20-49-03</t>
  </si>
  <si>
    <t>          Total Administrative Services</t>
  </si>
  <si>
    <t>          Financial and Records Services</t>
  </si>
  <si>
    <t>001-000-004-514-20-10-01</t>
  </si>
  <si>
    <t>001-000-004-514-20-21-01</t>
  </si>
  <si>
    <t>001-000-004-514-20-21-02</t>
  </si>
  <si>
    <t>Benefits-L &amp; I</t>
  </si>
  <si>
    <t>001-000-004-514-20-21-03</t>
  </si>
  <si>
    <t>001-000-004-514-20-21-04</t>
  </si>
  <si>
    <t>001-000-004-514-20-21-05</t>
  </si>
  <si>
    <t>001-000-004-514-20-31-01</t>
  </si>
  <si>
    <t>001-000-004-514-20-31-10</t>
  </si>
  <si>
    <t>001-000-004-514-20-35-05</t>
  </si>
  <si>
    <t>001-000-004-514-20-40-00</t>
  </si>
  <si>
    <t>Computer Repair &amp; Replacement 510</t>
  </si>
  <si>
    <t>001-000-004-514-20-41-02</t>
  </si>
  <si>
    <t>Contract Admin Temp Services</t>
  </si>
  <si>
    <t>001-000-004-514-20-42-00</t>
  </si>
  <si>
    <t>001-000-004-514-20-42-01</t>
  </si>
  <si>
    <t>001-000-004-514-20-43-00</t>
  </si>
  <si>
    <t>001-000-004-514-20-49-00</t>
  </si>
  <si>
    <t>001-000-004-514-20-49-01</t>
  </si>
  <si>
    <t>Advertising</t>
  </si>
  <si>
    <t>001-000-004-514-20-49-02</t>
  </si>
  <si>
    <t>001-000-004-514-20-49-06</t>
  </si>
  <si>
    <t>Dues and Subscriptions</t>
  </si>
  <si>
    <t>001-000-004-514-20-60-00</t>
  </si>
  <si>
    <t>Budgeting Software</t>
  </si>
  <si>
    <t>          Total Financial and Records Services</t>
  </si>
  <si>
    <t>          Communications</t>
  </si>
  <si>
    <t>001-000-004-518-70-40-00</t>
  </si>
  <si>
    <t>Printing Services</t>
  </si>
  <si>
    <t>001-000-004-518-90-10-01</t>
  </si>
  <si>
    <t>001-000-004-518-90-21-01</t>
  </si>
  <si>
    <t>001-000-004-518-90-21-02</t>
  </si>
  <si>
    <t>001-000-004-518-90-21-03</t>
  </si>
  <si>
    <t>Benefits Retirement</t>
  </si>
  <si>
    <t>001-000-004-518-90-21-04</t>
  </si>
  <si>
    <t>001-000-004-518-90-21-05</t>
  </si>
  <si>
    <t>001-000-004-518-90-30-00</t>
  </si>
  <si>
    <t>PEG Equipment</t>
  </si>
  <si>
    <t>001-000-004-518-90-31-02</t>
  </si>
  <si>
    <t>001-000-004-518-90-35-06</t>
  </si>
  <si>
    <t>001-000-004-518-90-40-01</t>
  </si>
  <si>
    <t>001-000-004-518-90-40-02</t>
  </si>
  <si>
    <t>001-000-004-518-90-42-00</t>
  </si>
  <si>
    <t>001-000-004-518-90-43-01</t>
  </si>
  <si>
    <t>001-000-004-518-90-49-03</t>
  </si>
  <si>
    <t>001-000-004-518-90-49-05</t>
  </si>
  <si>
    <t>          Total Communications</t>
  </si>
  <si>
    <t>          Legal</t>
  </si>
  <si>
    <t>001-000-005-515-31-41-00</t>
  </si>
  <si>
    <t>Legal Services - External</t>
  </si>
  <si>
    <t>001-000-005-515-31-41-01</t>
  </si>
  <si>
    <t>Legal Services - General</t>
  </si>
  <si>
    <t>001-000-005-515-35-41-04</t>
  </si>
  <si>
    <t>Threatened Litigation</t>
  </si>
  <si>
    <t>001-000-005-515-41-41-00</t>
  </si>
  <si>
    <t>Legal Services (External)</t>
  </si>
  <si>
    <t>          Total Legal</t>
  </si>
  <si>
    <t>      General Government Services</t>
  </si>
  <si>
    <t>001-000-006-514-40-40-00</t>
  </si>
  <si>
    <t>Election Services</t>
  </si>
  <si>
    <t>001-000-006-517-78-20-00</t>
  </si>
  <si>
    <t>Unemployment Payments-Claimant</t>
  </si>
  <si>
    <t>001-000-006-518-30-46-00</t>
  </si>
  <si>
    <t>Insurance</t>
  </si>
  <si>
    <t>001-000-006-518-30-46-01</t>
  </si>
  <si>
    <t>Insurance - Deductibles</t>
  </si>
  <si>
    <t>001-000-006-518-30-46-03</t>
  </si>
  <si>
    <t>Insurance - Offset To Fund 550</t>
  </si>
  <si>
    <t>001-000-006-518-63-00-00</t>
  </si>
  <si>
    <t>General Grants</t>
  </si>
  <si>
    <t>001-000-006-518-90-30-00</t>
  </si>
  <si>
    <t>Supplies</t>
  </si>
  <si>
    <t>001-000-006-518-90-40-00</t>
  </si>
  <si>
    <t>Computer Repair &amp; Replace</t>
  </si>
  <si>
    <t>001-000-006-518-90-40-01</t>
  </si>
  <si>
    <t>001-000-006-518-90-41-01</t>
  </si>
  <si>
    <t>001-000-006-518-90-41-02</t>
  </si>
  <si>
    <t>Prof. Services - FMC Recodified</t>
  </si>
  <si>
    <t>001-000-006-518-90-41-03</t>
  </si>
  <si>
    <t>Audit</t>
  </si>
  <si>
    <t>001-000-006-518-90-42-00</t>
  </si>
  <si>
    <t>001-000-006-518-90-44-00</t>
  </si>
  <si>
    <t>001-000-006-518-90-45-00</t>
  </si>
  <si>
    <t>Rentals/Leases</t>
  </si>
  <si>
    <t>001-000-006-518-90-45-01</t>
  </si>
  <si>
    <t>Rentals/Leases - Mail Machine</t>
  </si>
  <si>
    <t>001-000-006-518-90-45-02</t>
  </si>
  <si>
    <t>001-000-006-518-90-47-01</t>
  </si>
  <si>
    <t>Utilities - Natural Gas</t>
  </si>
  <si>
    <t>001-000-006-518-90-47-02</t>
  </si>
  <si>
    <t>Utilities - Electricity</t>
  </si>
  <si>
    <t>001-000-006-518-90-47-03</t>
  </si>
  <si>
    <t>Utilities - COF Water/Sewer</t>
  </si>
  <si>
    <t>001-000-006-518-90-48-01</t>
  </si>
  <si>
    <t>Contract/Other Repair &amp; Maint.</t>
  </si>
  <si>
    <t>001-000-006-518-90-49-00</t>
  </si>
  <si>
    <t xml:space="preserve">Miscellaneous </t>
  </si>
  <si>
    <t>001-000-006-518-90-49-01</t>
  </si>
  <si>
    <t>Flower Baskets</t>
  </si>
  <si>
    <t>001-000-006-518-90-49-03</t>
  </si>
  <si>
    <t>Travel Advances Clearing Account</t>
  </si>
  <si>
    <t>001-000-006-518-90-49-04</t>
  </si>
  <si>
    <t>Senior Center Contribution</t>
  </si>
  <si>
    <t>001-000-006-518-90-49-05</t>
  </si>
  <si>
    <t>Printing</t>
  </si>
  <si>
    <t>001-000-006-518-90-49-12</t>
  </si>
  <si>
    <t>Wetlands Mitigation Monitoring/Maint.</t>
  </si>
  <si>
    <t>001-000-006-518-90-49-13</t>
  </si>
  <si>
    <t>Wellness Committee</t>
  </si>
  <si>
    <t>001-000-006-518-90-49-14</t>
  </si>
  <si>
    <t>Council of Governments</t>
  </si>
  <si>
    <t>001-000-006-518-90-49-15</t>
  </si>
  <si>
    <t>AWC</t>
  </si>
  <si>
    <t>001-000-006-518-90-49-16</t>
  </si>
  <si>
    <t>Taxes - Diking District</t>
  </si>
  <si>
    <t>001-000-006-518-90-49-18</t>
  </si>
  <si>
    <t>OMWBE</t>
  </si>
  <si>
    <t>001-000-006-518-90-49-19</t>
  </si>
  <si>
    <t>Teen Court</t>
  </si>
  <si>
    <t>001-000-006-518-90-49-20</t>
  </si>
  <si>
    <t>Ferndale Arts Commission (FAC)</t>
  </si>
  <si>
    <t>001-000-006-554-30-41-00</t>
  </si>
  <si>
    <t>Animal Control Contract/Misc.</t>
  </si>
  <si>
    <t>001-000-006-565-10-49-06</t>
  </si>
  <si>
    <t>Food Bank Contribution</t>
  </si>
  <si>
    <t>001-000-006-565-10-49-07</t>
  </si>
  <si>
    <t>Ferndale Community Service Co-op</t>
  </si>
  <si>
    <t>001-000-006-565-10-49-08</t>
  </si>
  <si>
    <t>Ferndale Other Bank</t>
  </si>
  <si>
    <t>001-000-006-565-10-49-09</t>
  </si>
  <si>
    <t>Ferndale Friendship Community Garden (FFCG)</t>
  </si>
  <si>
    <t>001-000-006-565-10-49-10</t>
  </si>
  <si>
    <t>Connect Ferndale</t>
  </si>
  <si>
    <t>001-000-006-565-10-49-11</t>
  </si>
  <si>
    <t>Open Hands</t>
  </si>
  <si>
    <t>001-000-006-565-10-49-12</t>
  </si>
  <si>
    <t>Miracle Food Network</t>
  </si>
  <si>
    <t>001-000-006-565-40-42-00</t>
  </si>
  <si>
    <t>Ferndale Community Resource Center</t>
  </si>
  <si>
    <t>001-000-006-565-51-41-05</t>
  </si>
  <si>
    <t>Prof Services - Domestic Violence Specialist</t>
  </si>
  <si>
    <t>001-000-006-565-51-41-07</t>
  </si>
  <si>
    <t>DVSAS</t>
  </si>
  <si>
    <t>001-000-006-565-51-41-08</t>
  </si>
  <si>
    <t>Domestic Violence Services of WC</t>
  </si>
  <si>
    <t>001-000-006-567-00-41-01</t>
  </si>
  <si>
    <t>Whatcom Center for Early Learning (WCEL)</t>
  </si>
  <si>
    <t>001-000-006-571-00-40-00</t>
  </si>
  <si>
    <t>Ferndale Youth Sports</t>
  </si>
  <si>
    <t>001-000-006-575-30-41-00</t>
  </si>
  <si>
    <t>Heritage Society</t>
  </si>
  <si>
    <t>      Total General Government Services</t>
  </si>
  <si>
    <t>            Law Enforcement Administration</t>
  </si>
  <si>
    <t>001-000-007-521-10-10-00</t>
  </si>
  <si>
    <t>Administrative Salaries</t>
  </si>
  <si>
    <t>001-000-007-521-10-21-01</t>
  </si>
  <si>
    <t>001-000-007-521-10-21-02</t>
  </si>
  <si>
    <t>001-000-007-521-10-21-03</t>
  </si>
  <si>
    <t>001-000-007-521-10-21-04</t>
  </si>
  <si>
    <t>001-000-007-521-10-21-05</t>
  </si>
  <si>
    <t>001-000-007-521-10-22-00</t>
  </si>
  <si>
    <t>Clothing Allowance</t>
  </si>
  <si>
    <t>001-000-007-521-10-43-00</t>
  </si>
  <si>
    <t>            Total Law Enforcement Administration</t>
  </si>
  <si>
    <t>          Law Enforcement Facilities</t>
  </si>
  <si>
    <t>001-000-009-521-50-10-07</t>
  </si>
  <si>
    <t>PW Salaries</t>
  </si>
  <si>
    <t>001-000-009-521-50-21-05</t>
  </si>
  <si>
    <t>Benefits-PW Medical</t>
  </si>
  <si>
    <t>001-000-009-521-50-21-06</t>
  </si>
  <si>
    <t>Benefits - PW PFML</t>
  </si>
  <si>
    <t>001-000-009-521-50-21-27</t>
  </si>
  <si>
    <t>PW-L&amp;I</t>
  </si>
  <si>
    <t>001-000-009-521-50-21-28</t>
  </si>
  <si>
    <t>PW Retirement</t>
  </si>
  <si>
    <t>001-000-009-521-50-21-29</t>
  </si>
  <si>
    <t>PW Social Security</t>
  </si>
  <si>
    <t>001-000-009-521-50-47-01</t>
  </si>
  <si>
    <t>Utilities-Cascade Gas</t>
  </si>
  <si>
    <t>001-000-009-521-50-47-02</t>
  </si>
  <si>
    <t>Utilities-Puget Sound Energy</t>
  </si>
  <si>
    <t>001-000-009-521-50-47-03</t>
  </si>
  <si>
    <t>Utilities-Water/Sewer</t>
  </si>
  <si>
    <t>001-000-009-521-50-47-04</t>
  </si>
  <si>
    <t>Utilities-Puget Sound Energy-Offset to Computer Fund 510 (Server Room) 50%</t>
  </si>
  <si>
    <t>001-000-009-521-50-48-01</t>
  </si>
  <si>
    <t>R &amp; M Cleaning/Pest Contracts Police Station</t>
  </si>
  <si>
    <t>001-000-009-521-50-48-02</t>
  </si>
  <si>
    <t>General Building/Landscape Maintenance - Police Station</t>
  </si>
  <si>
    <t>          Total Law Enforcement Facilities</t>
  </si>
  <si>
    <t>      Law Enforcement Traffic Policing</t>
  </si>
  <si>
    <t>001-000-010-521-70-10-01</t>
  </si>
  <si>
    <t>Overtime Salaries - General</t>
  </si>
  <si>
    <t>001-000-010-521-70-10-02</t>
  </si>
  <si>
    <t>Office Salaries</t>
  </si>
  <si>
    <t>001-000-010-521-70-10-03</t>
  </si>
  <si>
    <t>Patrol Salaries</t>
  </si>
  <si>
    <t>001-000-010-521-70-10-04</t>
  </si>
  <si>
    <t>Overtime Salaries - Stonegarden Grants</t>
  </si>
  <si>
    <t>001-000-010-521-70-10-05</t>
  </si>
  <si>
    <t>Overtime Salaries - Traffic Safety</t>
  </si>
  <si>
    <t>001-000-010-521-70-10-06</t>
  </si>
  <si>
    <t>Overtime Salaries - Special Events</t>
  </si>
  <si>
    <t>001-000-010-521-70-21-01</t>
  </si>
  <si>
    <t>Benefits-Patrol Medical</t>
  </si>
  <si>
    <t>001-000-010-521-70-21-02</t>
  </si>
  <si>
    <t>Benefits-Patrol L&amp;I</t>
  </si>
  <si>
    <t>001-000-010-521-70-21-03</t>
  </si>
  <si>
    <t>Benefits Patrol-Retirement</t>
  </si>
  <si>
    <t>001-000-010-521-70-21-04</t>
  </si>
  <si>
    <t>Benefits Patrol-Social Securit</t>
  </si>
  <si>
    <t>001-000-010-521-70-21-06</t>
  </si>
  <si>
    <t>Benefits Patrol-Retirement Special Events</t>
  </si>
  <si>
    <t>001-000-010-521-70-21-07</t>
  </si>
  <si>
    <t>Benefits Patrol - PFML</t>
  </si>
  <si>
    <t>001-000-010-521-70-21-12</t>
  </si>
  <si>
    <t>O.t. Benefits-L&amp;I</t>
  </si>
  <si>
    <t>001-000-010-521-70-21-13</t>
  </si>
  <si>
    <t>O.t. Benefits-Retirement</t>
  </si>
  <si>
    <t>001-000-010-521-70-21-14</t>
  </si>
  <si>
    <t>O.t. Benefits-Social Security</t>
  </si>
  <si>
    <t>001-000-010-521-70-21-21</t>
  </si>
  <si>
    <t>Office Benefits-Medical</t>
  </si>
  <si>
    <t>001-000-010-521-70-21-22</t>
  </si>
  <si>
    <t>Office Benefits-L&amp;I</t>
  </si>
  <si>
    <t>001-000-010-521-70-21-23</t>
  </si>
  <si>
    <t>Office Benefits-Retirement</t>
  </si>
  <si>
    <t>001-000-010-521-70-21-24</t>
  </si>
  <si>
    <t>Office Benefits-Social Securit</t>
  </si>
  <si>
    <t>001-000-010-521-70-21-26</t>
  </si>
  <si>
    <t>L&amp;I - Volunteers</t>
  </si>
  <si>
    <t>001-000-010-521-70-21-27</t>
  </si>
  <si>
    <t>Office Benefits - PFML</t>
  </si>
  <si>
    <t>001-000-010-521-70-22-00</t>
  </si>
  <si>
    <t>001-000-010-521-70-31-01</t>
  </si>
  <si>
    <t>001-000-010-521-70-31-10</t>
  </si>
  <si>
    <t>O&amp;M Supplies</t>
  </si>
  <si>
    <t>001-000-010-521-70-35-00</t>
  </si>
  <si>
    <t>Equipment/Uniforms</t>
  </si>
  <si>
    <t>001-000-010-521-70-35-10</t>
  </si>
  <si>
    <t>Waspc Radar</t>
  </si>
  <si>
    <t>001-000-010-521-70-35-11</t>
  </si>
  <si>
    <t>Minor Office Equipment/furn.</t>
  </si>
  <si>
    <t>001-000-010-521-70-35-14</t>
  </si>
  <si>
    <t>Active Shooter Response Kits</t>
  </si>
  <si>
    <t>001-000-010-521-70-40-00</t>
  </si>
  <si>
    <t>001-000-010-521-70-40-01</t>
  </si>
  <si>
    <t>Vehicle Rental Charges Fund 550 - New Vehicles</t>
  </si>
  <si>
    <t>001-000-010-521-70-40-02</t>
  </si>
  <si>
    <t>001-000-010-521-70-41-00</t>
  </si>
  <si>
    <t>001-000-010-521-70-41-01</t>
  </si>
  <si>
    <t>Prof Services - Pre Employment</t>
  </si>
  <si>
    <t>001-000-010-521-70-41-04</t>
  </si>
  <si>
    <t>Prof Services - Lexipol Risk Management Program</t>
  </si>
  <si>
    <t>001-000-010-521-70-42-00</t>
  </si>
  <si>
    <t>Phone/Cell Phone/Air Cards</t>
  </si>
  <si>
    <t>001-000-010-521-70-42-01</t>
  </si>
  <si>
    <t>001-000-010-521-70-43-00</t>
  </si>
  <si>
    <t>001-000-010-521-70-43-01</t>
  </si>
  <si>
    <t>001-000-010-521-70-44-00</t>
  </si>
  <si>
    <t>001-000-010-521-70-45-02</t>
  </si>
  <si>
    <t>Rentals/Leases - General</t>
  </si>
  <si>
    <t>001-000-010-521-70-48-00</t>
  </si>
  <si>
    <t>Contracted R &amp; M</t>
  </si>
  <si>
    <t>001-000-010-521-70-48-01</t>
  </si>
  <si>
    <t>Records Mgmt Sys-Longarm Maint</t>
  </si>
  <si>
    <t>001-000-010-521-70-48-02</t>
  </si>
  <si>
    <t>Communications Support/Maintenance</t>
  </si>
  <si>
    <t>001-000-010-521-70-49-00</t>
  </si>
  <si>
    <t>001-000-010-521-70-49-02</t>
  </si>
  <si>
    <t>S.C.O.P.E. Expenditures</t>
  </si>
  <si>
    <t>001-000-010-521-70-49-03</t>
  </si>
  <si>
    <t>Misc-Investigation Fund</t>
  </si>
  <si>
    <t>001-000-010-521-70-49-04</t>
  </si>
  <si>
    <t>Misc-Crime Prevention</t>
  </si>
  <si>
    <t>001-000-010-521-70-49-05</t>
  </si>
  <si>
    <t>MISC - "Chief for a Day"</t>
  </si>
  <si>
    <t>001-000-010-521-70-49-07</t>
  </si>
  <si>
    <t>Expenditures Related to Police Evidence Money-Drug Seizure RCW 69.50.505</t>
  </si>
  <si>
    <t>001-000-010-521-70-49-09</t>
  </si>
  <si>
    <t>Expenditures Related to Police Evidence Money-Unclaimed Property RCW 63.32.030</t>
  </si>
  <si>
    <t>001-000-010-521-70-49-10</t>
  </si>
  <si>
    <t>Expenditures Related to Federal Stonegarden Indirect Grants - Non Vehicles</t>
  </si>
  <si>
    <t>001-000-010-521-70-49-11</t>
  </si>
  <si>
    <t>Learn</t>
  </si>
  <si>
    <t>001-000-010-521-70-49-12</t>
  </si>
  <si>
    <t>Whatcomm</t>
  </si>
  <si>
    <t>001-000-010-521-70-49-13</t>
  </si>
  <si>
    <t>Access Fees</t>
  </si>
  <si>
    <t>      Total Law Enforcement Traffic Policing</t>
  </si>
  <si>
    <t>      Probation and Parole Services</t>
  </si>
  <si>
    <t>001-000-012-523-30-10-00</t>
  </si>
  <si>
    <t>Probation Salaries</t>
  </si>
  <si>
    <t>001-000-012-523-30-21-01</t>
  </si>
  <si>
    <t>001-000-012-523-30-21-02</t>
  </si>
  <si>
    <t>001-000-012-523-30-21-03</t>
  </si>
  <si>
    <t>001-000-012-523-30-21-04</t>
  </si>
  <si>
    <t>001-000-012-523-30-21-05</t>
  </si>
  <si>
    <t>Benefits -PFML</t>
  </si>
  <si>
    <t>001-000-012-523-30-31-01</t>
  </si>
  <si>
    <t>001-000-012-523-30-31-10</t>
  </si>
  <si>
    <t>Operating Supplies</t>
  </si>
  <si>
    <t>001-000-012-523-30-40-00</t>
  </si>
  <si>
    <t>001-000-012-523-30-41-00</t>
  </si>
  <si>
    <t>001-000-012-523-30-43-00</t>
  </si>
  <si>
    <t>001-000-012-523-30-49-00</t>
  </si>
  <si>
    <t>001-000-012-523-30-49-02</t>
  </si>
  <si>
    <t>            Jail Contract</t>
  </si>
  <si>
    <t>001-000-012-523-60-49-03</t>
  </si>
  <si>
    <t>Jail Contract</t>
  </si>
  <si>
    <t>            Total Jail Contract</t>
  </si>
  <si>
    <t>      Total Probation and Parole Services</t>
  </si>
  <si>
    <t>      Inspections, Permits, Certifications, and Licenses</t>
  </si>
  <si>
    <t>001-000-013-524-20-10-01</t>
  </si>
  <si>
    <t>Salaries Plans Examiner/Bldg Inspector I</t>
  </si>
  <si>
    <t>001-000-013-524-20-10-02</t>
  </si>
  <si>
    <t>Salaries-Permit Specialist</t>
  </si>
  <si>
    <t>001-000-013-524-20-10-05</t>
  </si>
  <si>
    <t>Salaries Building Inspector</t>
  </si>
  <si>
    <t>001-000-013-524-20-10-06</t>
  </si>
  <si>
    <t>Salaries-Code Enforcement</t>
  </si>
  <si>
    <t>001-000-013-524-20-21-01</t>
  </si>
  <si>
    <t>Building Inspection-Medical</t>
  </si>
  <si>
    <t>001-000-013-524-20-21-02</t>
  </si>
  <si>
    <t>Building Inspection-L&amp;I</t>
  </si>
  <si>
    <t>001-000-013-524-20-21-03</t>
  </si>
  <si>
    <t>Building Inspection-Retirement</t>
  </si>
  <si>
    <t>001-000-013-524-20-21-04</t>
  </si>
  <si>
    <t>Building Inspection-Social Sec</t>
  </si>
  <si>
    <t>001-000-013-524-20-21-05</t>
  </si>
  <si>
    <t>Building Inspection - PFML</t>
  </si>
  <si>
    <t>001-000-013-524-20-21-08</t>
  </si>
  <si>
    <t>001-000-013-524-20-22-00</t>
  </si>
  <si>
    <t>Boot Allowance</t>
  </si>
  <si>
    <t>001-000-013-524-20-31-01</t>
  </si>
  <si>
    <t>001-000-013-524-20-31-10</t>
  </si>
  <si>
    <t>001-000-013-524-20-35-00</t>
  </si>
  <si>
    <t>Small Equipment</t>
  </si>
  <si>
    <t>001-000-013-524-20-35-02</t>
  </si>
  <si>
    <t>Copy/scanner Machine Lease</t>
  </si>
  <si>
    <t>001-000-013-524-20-40-00</t>
  </si>
  <si>
    <t>Vehicle Rental Charges Fund 550</t>
  </si>
  <si>
    <t>001-000-013-524-20-40-01</t>
  </si>
  <si>
    <t>Computer Rental &amp; Replacement Fund 510</t>
  </si>
  <si>
    <t>001-000-013-524-20-42-00</t>
  </si>
  <si>
    <t>001-000-013-524-20-43-00</t>
  </si>
  <si>
    <t>001-000-013-524-20-48-01</t>
  </si>
  <si>
    <t>Contracted Services</t>
  </si>
  <si>
    <t>001-000-013-524-20-49-00</t>
  </si>
  <si>
    <t>001-000-013-524-20-49-01</t>
  </si>
  <si>
    <t>      Total Inspections, Permits, Certifications, and Licenses</t>
  </si>
  <si>
    <t>            Emergency Preparedness</t>
  </si>
  <si>
    <t>001-000-014-525-60-41-00</t>
  </si>
  <si>
    <t>Emergency Service Contract</t>
  </si>
  <si>
    <t>001-000-014-525-60-41-01</t>
  </si>
  <si>
    <t>EMS Sales Tax Payments to Whatcom County</t>
  </si>
  <si>
    <t>            Total Emergency Preparedness</t>
  </si>
  <si>
    <t>          City Hall/Annex/Library Building Maintenance</t>
  </si>
  <si>
    <t>001-000-015-518-30-10-00</t>
  </si>
  <si>
    <t>Salaries - City Hall/Annexes</t>
  </si>
  <si>
    <t>001-000-015-518-30-10-01</t>
  </si>
  <si>
    <t>Salaries - Library</t>
  </si>
  <si>
    <t>001-000-015-518-30-10-10</t>
  </si>
  <si>
    <t>Salaries - City Hall/Annex OT</t>
  </si>
  <si>
    <t>001-000-015-518-30-21-01</t>
  </si>
  <si>
    <t>Benefits-Medical City Hall/Annexes</t>
  </si>
  <si>
    <t>001-000-015-518-30-21-02</t>
  </si>
  <si>
    <t>Benefits-L&amp; I City Hall/Annexes</t>
  </si>
  <si>
    <t>001-000-015-518-30-21-03</t>
  </si>
  <si>
    <t>Retirement City Hall/Annexes</t>
  </si>
  <si>
    <t>001-000-015-518-30-21-04</t>
  </si>
  <si>
    <t>Social Security/Medicare City Hall/Annexes</t>
  </si>
  <si>
    <t>001-000-015-518-30-21-05</t>
  </si>
  <si>
    <t>Benefits-Medical - Library</t>
  </si>
  <si>
    <t>001-000-015-518-30-21-06</t>
  </si>
  <si>
    <t>Benefits-L&amp;I - Library</t>
  </si>
  <si>
    <t>001-000-015-518-30-21-07</t>
  </si>
  <si>
    <t>Retirement - Library</t>
  </si>
  <si>
    <t>001-000-015-518-30-21-08</t>
  </si>
  <si>
    <t>Social Security/Medicare - Library</t>
  </si>
  <si>
    <t>001-000-015-518-30-21-09</t>
  </si>
  <si>
    <t>001-000-015-518-30-21-10</t>
  </si>
  <si>
    <t>OT Benefits L &amp; I City Hall/Annex</t>
  </si>
  <si>
    <t>001-000-015-518-30-21-11</t>
  </si>
  <si>
    <t>OT Benefits Retirement City Hall/Annex</t>
  </si>
  <si>
    <t>001-000-015-518-30-21-12</t>
  </si>
  <si>
    <t>OT Benefits Social Security City Hall/Annex</t>
  </si>
  <si>
    <t>001-000-015-518-30-21-13</t>
  </si>
  <si>
    <t>Benefits - PFML City Hall/Annex</t>
  </si>
  <si>
    <t>001-000-015-518-30-21-14</t>
  </si>
  <si>
    <t>Benefits - PFML - Library</t>
  </si>
  <si>
    <t>001-000-015-518-30-22-00</t>
  </si>
  <si>
    <t>Boot/Clothing Allowance City Hall/Annexes</t>
  </si>
  <si>
    <t>001-000-015-518-30-30-00</t>
  </si>
  <si>
    <t>Small Tools and Equipment</t>
  </si>
  <si>
    <t>001-000-015-518-30-40-00</t>
  </si>
  <si>
    <t>001-000-015-518-30-42-00</t>
  </si>
  <si>
    <t>001-000-015-518-30-48-00</t>
  </si>
  <si>
    <t>R &amp; M Cleaning/Pest Contracts - City Hall/Annexes</t>
  </si>
  <si>
    <t>001-000-015-518-30-48-01</t>
  </si>
  <si>
    <t>Elevator Maintenance &amp; Service/Permit - City Hall</t>
  </si>
  <si>
    <t>001-000-015-518-30-48-06</t>
  </si>
  <si>
    <t>General Building Maintenance - City Hall/Annexes</t>
  </si>
  <si>
    <t>001-000-015-518-30-48-08</t>
  </si>
  <si>
    <t>General Building Maintenance &amp; Landscaping - Library</t>
  </si>
  <si>
    <t>001-000-015-518-30-48-09</t>
  </si>
  <si>
    <t>General Building Maint. - Pioneer Pavilion</t>
  </si>
  <si>
    <t>001-000-015-518-30-49-01</t>
  </si>
  <si>
    <t>Misc. - Other</t>
  </si>
  <si>
    <t>          Total City Hall/Annex/Library Building Maintenance</t>
  </si>
  <si>
    <t>          Infrastructure Inspection/Facility Engineering</t>
  </si>
  <si>
    <t>001-000-015-544-20-10-00</t>
  </si>
  <si>
    <t>001-000-015-544-20-21-01</t>
  </si>
  <si>
    <t>001-000-015-544-20-21-02</t>
  </si>
  <si>
    <t>001-000-015-544-20-21-03</t>
  </si>
  <si>
    <t>001-000-015-544-20-21-04</t>
  </si>
  <si>
    <t>001-000-015-544-20-21-05</t>
  </si>
  <si>
    <t>001-000-015-544-20-22-00</t>
  </si>
  <si>
    <t>Boot/Clothing Allowance</t>
  </si>
  <si>
    <t>001-000-015-544-20-31-00</t>
  </si>
  <si>
    <t>001-000-015-544-20-40-00</t>
  </si>
  <si>
    <t>001-000-015-544-20-40-01</t>
  </si>
  <si>
    <t>Computer Rental Charges - Fund 510</t>
  </si>
  <si>
    <t>001-000-015-544-20-41-00</t>
  </si>
  <si>
    <t>Professional Services 001.000.015.544</t>
  </si>
  <si>
    <t>001-000-015-544-20-49-00</t>
  </si>
  <si>
    <t>          Total Infrastructure Inspection/Facility Engineering</t>
  </si>
  <si>
    <t>          Clean Air Agency</t>
  </si>
  <si>
    <t>001-000-015-553-70-41-07</t>
  </si>
  <si>
    <t>Clean Air Agency</t>
  </si>
  <si>
    <t>          Total Clean Air Agency</t>
  </si>
  <si>
    <t>        Debt Service</t>
  </si>
  <si>
    <t>          Capital Expenditures</t>
  </si>
  <si>
    <t>001-000-015-594-12-60-00</t>
  </si>
  <si>
    <t>Interim Court Improvements</t>
  </si>
  <si>
    <t>          Total Capital Expenditures</t>
  </si>
  <si>
    <t>      Parks</t>
  </si>
  <si>
    <t>001-000-016-571-00-31-10</t>
  </si>
  <si>
    <t>Star Park Renewal Day Supplies</t>
  </si>
  <si>
    <t>001-000-016-576-80-10-01</t>
  </si>
  <si>
    <t>Salaries Maintenance</t>
  </si>
  <si>
    <t>001-000-016-576-80-10-02</t>
  </si>
  <si>
    <t>Summer Help</t>
  </si>
  <si>
    <t>001-000-016-576-80-10-05</t>
  </si>
  <si>
    <t>Salaries Overtime</t>
  </si>
  <si>
    <t>001-000-016-576-80-10-06</t>
  </si>
  <si>
    <t>Salaries-Tour Guides</t>
  </si>
  <si>
    <t>001-000-016-576-80-21-01</t>
  </si>
  <si>
    <t>001-000-016-576-80-21-02</t>
  </si>
  <si>
    <t>001-000-016-576-80-21-03</t>
  </si>
  <si>
    <t>001-000-016-576-80-21-04</t>
  </si>
  <si>
    <t>001-000-016-576-80-21-06</t>
  </si>
  <si>
    <t>OT Benefits L &amp; I</t>
  </si>
  <si>
    <t>001-000-016-576-80-21-07</t>
  </si>
  <si>
    <t>OT Benefits Retirement</t>
  </si>
  <si>
    <t>001-000-016-576-80-21-08</t>
  </si>
  <si>
    <t>OT Benefits Social Security</t>
  </si>
  <si>
    <t>001-000-016-576-80-21-09</t>
  </si>
  <si>
    <t>001-000-016-576-80-22-00</t>
  </si>
  <si>
    <t>001-000-016-576-80-22-01</t>
  </si>
  <si>
    <t>Overtime Meals</t>
  </si>
  <si>
    <t>001-000-016-576-80-31-02</t>
  </si>
  <si>
    <t>Fertilizer &amp; Chemicals</t>
  </si>
  <si>
    <t>001-000-016-576-80-31-03</t>
  </si>
  <si>
    <t>Equipment Parts &amp; Supplies</t>
  </si>
  <si>
    <t>001-000-016-576-80-31-06</t>
  </si>
  <si>
    <t>Tree &amp; Shrub Replacement</t>
  </si>
  <si>
    <t>001-000-016-576-80-31-10</t>
  </si>
  <si>
    <t>Operating Supplies 001.000.016</t>
  </si>
  <si>
    <t>001-000-016-576-80-31-11</t>
  </si>
  <si>
    <t>OP Supplies-Riverwalk Fountain</t>
  </si>
  <si>
    <t>001-000-016-576-80-35-00</t>
  </si>
  <si>
    <t>001-000-016-576-80-40-00</t>
  </si>
  <si>
    <t>Vehicle Rental Charges - Fund 550</t>
  </si>
  <si>
    <t>001-000-016-576-80-40-01</t>
  </si>
  <si>
    <t>001-000-016-576-80-41-01</t>
  </si>
  <si>
    <t>Professional Services-Alarmsys</t>
  </si>
  <si>
    <t>001-000-016-576-80-41-02</t>
  </si>
  <si>
    <t>001-000-016-576-80-41-04</t>
  </si>
  <si>
    <t>Equipment Rental</t>
  </si>
  <si>
    <t>001-000-016-576-80-42-01</t>
  </si>
  <si>
    <t>Phone / Cell Phone</t>
  </si>
  <si>
    <t>001-000-016-576-80-43-00</t>
  </si>
  <si>
    <t>001-000-016-576-80-44-00</t>
  </si>
  <si>
    <t>001-000-016-576-80-47-00</t>
  </si>
  <si>
    <t>001-000-016-576-80-47-01</t>
  </si>
  <si>
    <t>Cascade Gas</t>
  </si>
  <si>
    <t>001-000-016-576-80-47-04</t>
  </si>
  <si>
    <t>Irrigation Water</t>
  </si>
  <si>
    <t>001-000-016-576-80-47-06</t>
  </si>
  <si>
    <t>Heating Oil-Bergsma</t>
  </si>
  <si>
    <t>001-000-016-576-80-47-07</t>
  </si>
  <si>
    <t>Water/Sewer/Irrigation at Riverwalk</t>
  </si>
  <si>
    <t>001-000-016-576-80-48-01</t>
  </si>
  <si>
    <t>Tree Removal</t>
  </si>
  <si>
    <t>001-000-016-576-80-48-02</t>
  </si>
  <si>
    <t>Bldg Maintenance-Pioneer Park/Conoco</t>
  </si>
  <si>
    <t>001-000-016-576-80-49-00</t>
  </si>
  <si>
    <t>001-000-016-576-80-49-10</t>
  </si>
  <si>
    <t>Miscellaneous-Safety Equipment</t>
  </si>
  <si>
    <t>001-000-016-576-80-49-11</t>
  </si>
  <si>
    <t>Miscellaneous-Safety Training</t>
  </si>
  <si>
    <t>001-000-016-576-80-49-12</t>
  </si>
  <si>
    <t>PRTAB Support</t>
  </si>
  <si>
    <t>001-000-016-594-76-64-08</t>
  </si>
  <si>
    <t>Playground Equipment</t>
  </si>
  <si>
    <t>001-000-016-594-76-64-09</t>
  </si>
  <si>
    <t>Vista Ridge Trail</t>
  </si>
  <si>
    <t>001-000-016-594-76-64-10</t>
  </si>
  <si>
    <t>Star Park Shelter</t>
  </si>
  <si>
    <t>001-000-016-594-76-64-11</t>
  </si>
  <si>
    <t>Pioneer Park Cabin Preservation</t>
  </si>
  <si>
    <t>001-000-016-594-76-64-12</t>
  </si>
  <si>
    <t>Pioneer Park Drinking Fountain</t>
  </si>
  <si>
    <t>001-000-016-594-76-64-13</t>
  </si>
  <si>
    <t>Recycle Bins</t>
  </si>
  <si>
    <t>001-000-016-594-76-64-14</t>
  </si>
  <si>
    <t>VanderYacht Park Restroom</t>
  </si>
  <si>
    <t>      Total Parks</t>
  </si>
  <si>
    <t>      Alcohol Admin. Boand</t>
  </si>
  <si>
    <t>001-000-018-566-00-41-00</t>
  </si>
  <si>
    <t>Alcohol Admin. Board</t>
  </si>
  <si>
    <t>      Total Alcohol Admin. Boand</t>
  </si>
  <si>
    <t>      Planning and Community Development</t>
  </si>
  <si>
    <t>001-000-019-558-60-10-01</t>
  </si>
  <si>
    <t>Salaries Supervision</t>
  </si>
  <si>
    <t>001-000-019-558-60-10-02</t>
  </si>
  <si>
    <t>Salaries Clerical</t>
  </si>
  <si>
    <t>001-000-019-558-60-10-08</t>
  </si>
  <si>
    <t>Salaries Assistant Planner</t>
  </si>
  <si>
    <t>001-000-019-558-60-10-09</t>
  </si>
  <si>
    <t>Gis Services-Salaries</t>
  </si>
  <si>
    <t>001-000-019-558-60-10-11</t>
  </si>
  <si>
    <t>GIS/Support Services-Salaries-Offset to PW</t>
  </si>
  <si>
    <t>001-000-019-558-60-10-13</t>
  </si>
  <si>
    <t>Salaries Associate Planner</t>
  </si>
  <si>
    <t>001-000-019-558-60-21-01</t>
  </si>
  <si>
    <t>001-000-019-558-60-21-02</t>
  </si>
  <si>
    <t>001-000-019-558-60-21-03</t>
  </si>
  <si>
    <t>001-000-019-558-60-21-04</t>
  </si>
  <si>
    <t>001-000-019-558-60-21-08</t>
  </si>
  <si>
    <t>001-000-019-558-60-21-11</t>
  </si>
  <si>
    <t>001-000-019-558-60-31-00</t>
  </si>
  <si>
    <t>Office Supplies-General</t>
  </si>
  <si>
    <t>001-000-019-558-60-35-00</t>
  </si>
  <si>
    <t>Small Office Equipment</t>
  </si>
  <si>
    <t>001-000-019-558-60-40-00</t>
  </si>
  <si>
    <t>001-000-019-558-60-40-01</t>
  </si>
  <si>
    <t>001-000-019-558-60-41-02</t>
  </si>
  <si>
    <t>001-000-019-558-60-41-05</t>
  </si>
  <si>
    <t>Transportation Consultant</t>
  </si>
  <si>
    <t>001-000-019-558-60-41-10</t>
  </si>
  <si>
    <t>Critical Areas</t>
  </si>
  <si>
    <t>001-000-019-558-60-41-11</t>
  </si>
  <si>
    <t>G M A Update</t>
  </si>
  <si>
    <t>001-000-019-558-60-41-12</t>
  </si>
  <si>
    <t>SMP Update</t>
  </si>
  <si>
    <t>001-000-019-558-60-41-13</t>
  </si>
  <si>
    <t>Prof Svcs-Hearing Examiner</t>
  </si>
  <si>
    <t>001-000-019-558-60-42-00</t>
  </si>
  <si>
    <t>001-000-019-558-60-42-01</t>
  </si>
  <si>
    <t>001-000-019-558-60-43-00</t>
  </si>
  <si>
    <t>001-000-019-558-60-44-00</t>
  </si>
  <si>
    <t>Publication of Public Notices</t>
  </si>
  <si>
    <t>001-000-019-558-60-45-02</t>
  </si>
  <si>
    <t>Copy Machine/print/scan Leases</t>
  </si>
  <si>
    <t>001-000-019-558-60-45-03</t>
  </si>
  <si>
    <t>Copy Machine/print/scan Maint</t>
  </si>
  <si>
    <t>001-000-019-558-60-48-00</t>
  </si>
  <si>
    <t>001-000-019-558-60-49-00</t>
  </si>
  <si>
    <t>001-000-019-558-60-49-03</t>
  </si>
  <si>
    <t>      Total Planning and Community Development</t>
  </si>
  <si>
    <t>Energy Code Charge</t>
  </si>
  <si>
    <t>        Nonexpenditures</t>
  </si>
  <si>
    <t>001-000-100-582-10-00-01</t>
  </si>
  <si>
    <t>Refund of Deposits</t>
  </si>
  <si>
    <t>001-000-100-582-20-00-00</t>
  </si>
  <si>
    <t>Refund of Retainage Deposits</t>
  </si>
  <si>
    <t>001-000-100-588-10-00-00</t>
  </si>
  <si>
    <t>Prior Period Adjustment</t>
  </si>
  <si>
    <t>        Total Nonexpenditures</t>
  </si>
  <si>
    <t>          Transfers Out</t>
  </si>
  <si>
    <t>001-000-100-597-00-00-01</t>
  </si>
  <si>
    <t>TR TO Fund 218 Debt Service-Old Police Lease Payments</t>
  </si>
  <si>
    <t>001-000-100-597-00-00-04</t>
  </si>
  <si>
    <t>TR TO Gen Fund Contingency Reserve 002</t>
  </si>
  <si>
    <t>001-000-100-597-00-00-05</t>
  </si>
  <si>
    <t xml:space="preserve">TR TO Capital Facilities Reserve 003 </t>
  </si>
  <si>
    <t>001-000-100-597-00-00-06</t>
  </si>
  <si>
    <t>TR TO Fund 004 Leoff 1 Retiree</t>
  </si>
  <si>
    <t>001-000-100-597-00-00-08</t>
  </si>
  <si>
    <t>TR to F550 Replace T-4</t>
  </si>
  <si>
    <t>001-000-100-597-00-00-09</t>
  </si>
  <si>
    <t>TR to F550 Replace T-23</t>
  </si>
  <si>
    <t>001-000-100-597-00-00-10</t>
  </si>
  <si>
    <t>TR to F550 Replace S-3</t>
  </si>
  <si>
    <t>001-000-100-597-00-00-11</t>
  </si>
  <si>
    <t>TR to F550 Replace Groomer S-37</t>
  </si>
  <si>
    <t>001-000-100-597-00-00-12</t>
  </si>
  <si>
    <t>TR to F550 Replace Mower S-40</t>
  </si>
  <si>
    <t>001-000-100-597-00-00-13</t>
  </si>
  <si>
    <t>TR to F550 Tomahawk Lift</t>
  </si>
  <si>
    <t>001-000-100-597-00-00-14</t>
  </si>
  <si>
    <t>TR to F550 Replace T-22</t>
  </si>
  <si>
    <t>001-000-100-597-00-00-15</t>
  </si>
  <si>
    <t>TR to F550 Replace T-47</t>
  </si>
  <si>
    <t>001-000-100-597-00-00-16</t>
  </si>
  <si>
    <t>TR to F550 Replace Truck T-18</t>
  </si>
  <si>
    <t>001-000-100-597-00-00-17</t>
  </si>
  <si>
    <t>TR to F550 Replace Truck T-48</t>
  </si>
  <si>
    <t>001-000-100-597-00-00-18</t>
  </si>
  <si>
    <t>TR to F550 Budgeting Software</t>
  </si>
  <si>
    <t>          Total Transfers Out</t>
  </si>
  <si>
    <t>Total Current Expense Fund</t>
  </si>
  <si>
    <t>General Fund Contingency Reserve</t>
  </si>
  <si>
    <t>      Expenditure</t>
  </si>
  <si>
    <t>002-000-000-597-00-00-02</t>
  </si>
  <si>
    <t>TR TO Cur Exp 001</t>
  </si>
  <si>
    <t>Total General Fund Contingency Reserve</t>
  </si>
  <si>
    <t>Facilities Capital Reserve</t>
  </si>
  <si>
    <t>003-000-000-597-00-00-00</t>
  </si>
  <si>
    <t>Transfer TO Cur Exp Fund 001</t>
  </si>
  <si>
    <t>Total Facilities Capital Reserve</t>
  </si>
  <si>
    <t xml:space="preserve">Leoff 1 Retiree </t>
  </si>
  <si>
    <t>004-000-000-521-70-21-01</t>
  </si>
  <si>
    <t>Benefits-Medical Insurance 004 LEOFF1 Retiree</t>
  </si>
  <si>
    <t>004-000-000-521-70-21-02</t>
  </si>
  <si>
    <t>Benefits-Medical Non Insurance</t>
  </si>
  <si>
    <t>004-000-000-521-70-21-03</t>
  </si>
  <si>
    <t>Benefits-Dental Non Insurance</t>
  </si>
  <si>
    <t xml:space="preserve">Total Leoff 1 Retiree </t>
  </si>
  <si>
    <t>Solid Waste Utility Tax</t>
  </si>
  <si>
    <t>005-000-000-597-00-00-01</t>
  </si>
  <si>
    <t>005-000-000-597-00-00-03</t>
  </si>
  <si>
    <t>TR TO LEOFF 1 Retiree 004</t>
  </si>
  <si>
    <t>005-000-000-597-00-00-04</t>
  </si>
  <si>
    <t>TR TO Computer Fund 510</t>
  </si>
  <si>
    <t>005-000-000-597-00-00-05</t>
  </si>
  <si>
    <t>TR TO Streets 101</t>
  </si>
  <si>
    <t>005-000-000-597-00-00-06</t>
  </si>
  <si>
    <t xml:space="preserve">TR TO Debt Service 214 </t>
  </si>
  <si>
    <t>005-000-000-597-00-00-07</t>
  </si>
  <si>
    <t>TR TO LaBounty D/S 215/217</t>
  </si>
  <si>
    <t>005-000-000-597-00-00-12</t>
  </si>
  <si>
    <t>TR TO 2010 GO Bond Debt Service 218</t>
  </si>
  <si>
    <t>005-000-000-597-00-00-13</t>
  </si>
  <si>
    <t>TR TO 2011 GO Bond Debt Service 219</t>
  </si>
  <si>
    <t>005-000-000-597-00-00-15</t>
  </si>
  <si>
    <t>TR TO Library 2014 GO Bond Debt Service 220</t>
  </si>
  <si>
    <t>005-000-000-597-00-00-17</t>
  </si>
  <si>
    <t>TR TO Pioneer Pav Com Ctr Ops 007</t>
  </si>
  <si>
    <t>005-000-000-597-00-00-18</t>
  </si>
  <si>
    <t>TR TO 2016 GO Bond Debt Svc LOCAL 408</t>
  </si>
  <si>
    <t>005-000-000-597-00-00-20</t>
  </si>
  <si>
    <t>TR TO Facilities Capital Reserve 003</t>
  </si>
  <si>
    <t>005-000-000-597-00-00-21</t>
  </si>
  <si>
    <t>TR to F550</t>
  </si>
  <si>
    <t>Total Solid Waste Utility Tax</t>
  </si>
  <si>
    <t>Pioneer Pavilion Community Center Operations</t>
  </si>
  <si>
    <t>007-000-000-518-30-10-00</t>
  </si>
  <si>
    <t>007-000-000-518-30-10-10</t>
  </si>
  <si>
    <t>OT Salaries</t>
  </si>
  <si>
    <t>007-000-000-518-30-21-01</t>
  </si>
  <si>
    <t>007-000-000-518-30-21-02</t>
  </si>
  <si>
    <t>007-000-000-518-30-21-03</t>
  </si>
  <si>
    <t>Retirement</t>
  </si>
  <si>
    <t>007-000-000-518-30-21-04</t>
  </si>
  <si>
    <t>Social Security/Medicare</t>
  </si>
  <si>
    <t>007-000-000-518-30-21-05</t>
  </si>
  <si>
    <t>007-000-000-518-30-21-06</t>
  </si>
  <si>
    <t>007-000-000-518-30-21-10</t>
  </si>
  <si>
    <t>007-000-000-518-30-21-11</t>
  </si>
  <si>
    <t>007-000-000-518-30-21-12</t>
  </si>
  <si>
    <t>007-000-000-518-30-48-09</t>
  </si>
  <si>
    <t>Building Maintenance</t>
  </si>
  <si>
    <t>007-000-000-518-30-48-10</t>
  </si>
  <si>
    <t>007-000-000-594-73-60-01</t>
  </si>
  <si>
    <t>Fans</t>
  </si>
  <si>
    <t>007-000-001-582-10-00-01</t>
  </si>
  <si>
    <t>Total Pioneer Pavilion Community Center Operations</t>
  </si>
  <si>
    <t xml:space="preserve">Street </t>
  </si>
  <si>
    <t>          Capital Expenditures: Roads/Streets Construction &amp; Other Infrastructure</t>
  </si>
  <si>
    <t>101-000-001-595-10-00-11</t>
  </si>
  <si>
    <t>WA Street Main to Vista - Design/PS&amp;E</t>
  </si>
  <si>
    <t>101-000-001-595-10-00-12</t>
  </si>
  <si>
    <t>WA Street Main to Vista - CE/CM</t>
  </si>
  <si>
    <t>101-000-001-595-10-01-18</t>
  </si>
  <si>
    <t>Portal Way Pavement Overlay - Design/PS&amp;E</t>
  </si>
  <si>
    <t>101-000-001-595-10-01-19</t>
  </si>
  <si>
    <t>Portal Way Pavement Overlay - CE/CM</t>
  </si>
  <si>
    <t>101-000-001-595-10-10-00</t>
  </si>
  <si>
    <t>Main to Barrett COF Labor</t>
  </si>
  <si>
    <t>101-000-001-595-10-60-11</t>
  </si>
  <si>
    <t>Main St - Barrett to City Limits Design</t>
  </si>
  <si>
    <t>101-000-001-595-20-60-00</t>
  </si>
  <si>
    <t>Thornton (Vista to Malloy) ROW</t>
  </si>
  <si>
    <t>101-000-001-595-30-00-12</t>
  </si>
  <si>
    <t>Crack Sealing Project - Misc.</t>
  </si>
  <si>
    <t>101-000-001-595-30-00-16</t>
  </si>
  <si>
    <t>WA Street Main to Vista - CN</t>
  </si>
  <si>
    <t>101-000-001-595-30-00-21</t>
  </si>
  <si>
    <t>Portal Way Pavement Overlay - CN</t>
  </si>
  <si>
    <t>101-000-001-595-30-00-22</t>
  </si>
  <si>
    <t>Portal Way Pavement Overlay - Misc</t>
  </si>
  <si>
    <t>101-000-001-595-30-10-00</t>
  </si>
  <si>
    <t>WA Street Main to Vista - COF Labor</t>
  </si>
  <si>
    <t>101-000-001-595-30-10-02</t>
  </si>
  <si>
    <t>Portal Way Pavement Overlay - COF Labor</t>
  </si>
  <si>
    <t>101-000-001-595-30-10-03</t>
  </si>
  <si>
    <t>First Ave COF Labor</t>
  </si>
  <si>
    <t>101-000-001-595-30-10-04</t>
  </si>
  <si>
    <t>Malloy Terrace</t>
  </si>
  <si>
    <t>101-000-001-595-30-10-05</t>
  </si>
  <si>
    <t>Thornton (Malloy to Vista) COF Labor</t>
  </si>
  <si>
    <t>101-000-001-595-30-10-24</t>
  </si>
  <si>
    <t>Cherry Street Sidewalk COF Labor</t>
  </si>
  <si>
    <t>101-000-001-595-30-60-20</t>
  </si>
  <si>
    <t>I-5 Portal Way Roundabout Design/PSE</t>
  </si>
  <si>
    <t>101-000-001-595-30-60-23</t>
  </si>
  <si>
    <t>I-5 Portal Way Roundabout Misc</t>
  </si>
  <si>
    <t>101-000-001-595-30-60-24</t>
  </si>
  <si>
    <t>Cherry Street Sidewalk CN</t>
  </si>
  <si>
    <t>101-000-001-595-30-60-25</t>
  </si>
  <si>
    <t>Cherry St. Sidewalk Design</t>
  </si>
  <si>
    <t>101-000-001-595-30-60-26</t>
  </si>
  <si>
    <t>Main &amp; LaBounty Roundabout</t>
  </si>
  <si>
    <t>101-000-001-595-30-60-27</t>
  </si>
  <si>
    <t>Main St Overlay</t>
  </si>
  <si>
    <t>101-000-001-595-30-60-28</t>
  </si>
  <si>
    <t>Thornton (Vista to Malloy) Design</t>
  </si>
  <si>
    <t>101-000-001-595-30-60-29</t>
  </si>
  <si>
    <t>Thornton (Malloy to Vista) CN</t>
  </si>
  <si>
    <t>101-000-001-595-30-64-00</t>
  </si>
  <si>
    <t>Land Purchase</t>
  </si>
  <si>
    <t>101-000-001-595-30-64-01</t>
  </si>
  <si>
    <t>Wayfinding Signs</t>
  </si>
  <si>
    <t>101-000-001-595-30-64-02</t>
  </si>
  <si>
    <t>Miscellaneous Capital Projects</t>
  </si>
  <si>
    <t>101-000-001-595-30-64-03</t>
  </si>
  <si>
    <t>Malloy Paving</t>
  </si>
  <si>
    <t>101-000-001-595-40-60-01</t>
  </si>
  <si>
    <t>Malloy Culvert Design</t>
  </si>
  <si>
    <t>101-000-001-595-50-60-01</t>
  </si>
  <si>
    <t>Shop Storage Structure</t>
  </si>
  <si>
    <t>101-000-001-595-61-00-15</t>
  </si>
  <si>
    <t>Portal Way Sidewalks</t>
  </si>
  <si>
    <t>101-000-001-595-61-10-00</t>
  </si>
  <si>
    <t>ADA Transition Plan COF Labor</t>
  </si>
  <si>
    <t>101-000-001-595-61-60-00</t>
  </si>
  <si>
    <t>Sidewalks</t>
  </si>
  <si>
    <t>101-000-001-595-61-60-16</t>
  </si>
  <si>
    <t>ADA Transition Plan Study</t>
  </si>
  <si>
    <t>101-000-001-595-63-00-00</t>
  </si>
  <si>
    <t>Main Street Lighting</t>
  </si>
  <si>
    <t>101-000-001-595-63-00-01</t>
  </si>
  <si>
    <t>Streetlight Conversion</t>
  </si>
  <si>
    <t>          Total Capital Expenditures: Roads/Streets Construction &amp; Other Infrastructure</t>
  </si>
  <si>
    <t>      Sidewalks</t>
  </si>
  <si>
    <t>101-000-003-542-61-10-00</t>
  </si>
  <si>
    <t>101-000-003-542-61-21-01</t>
  </si>
  <si>
    <t>101-000-003-542-61-21-02</t>
  </si>
  <si>
    <t>101-000-003-542-61-21-03</t>
  </si>
  <si>
    <t>101-000-003-542-61-21-04</t>
  </si>
  <si>
    <t>101-000-003-542-61-21-05</t>
  </si>
  <si>
    <t>101-000-003-542-61-22-04</t>
  </si>
  <si>
    <t>Boot/clothing</t>
  </si>
  <si>
    <t>101-000-003-542-61-31-10</t>
  </si>
  <si>
    <t>      Total Sidewalks</t>
  </si>
  <si>
    <t>      Administration</t>
  </si>
  <si>
    <t>101-000-004-543-10-10-00</t>
  </si>
  <si>
    <t>101-000-004-543-10-10-01</t>
  </si>
  <si>
    <t>101-000-004-543-10-21-01</t>
  </si>
  <si>
    <t>101-000-004-543-10-21-02</t>
  </si>
  <si>
    <t>101-000-004-543-10-21-03</t>
  </si>
  <si>
    <t>101-000-004-543-10-21-04</t>
  </si>
  <si>
    <t>101-000-004-543-10-21-05</t>
  </si>
  <si>
    <t>101-000-004-543-10-22-00</t>
  </si>
  <si>
    <t>101-000-004-543-10-31-00</t>
  </si>
  <si>
    <t>101-000-004-543-10-31-10</t>
  </si>
  <si>
    <t>101-000-004-543-10-35-00</t>
  </si>
  <si>
    <t>Small Tools &amp; Equipment</t>
  </si>
  <si>
    <t>101-000-004-543-10-40-00</t>
  </si>
  <si>
    <t>Central Services</t>
  </si>
  <si>
    <t>101-000-004-543-10-40-02</t>
  </si>
  <si>
    <t>101-000-004-543-10-40-04</t>
  </si>
  <si>
    <t>101-000-004-543-10-41-00</t>
  </si>
  <si>
    <t>101-000-004-543-10-41-01</t>
  </si>
  <si>
    <t>Profess. Serv.-Transpo Group</t>
  </si>
  <si>
    <t>101-000-004-543-10-42-01</t>
  </si>
  <si>
    <t>101-000-004-543-10-43-00</t>
  </si>
  <si>
    <t>101-000-004-543-10-44-00</t>
  </si>
  <si>
    <t>101-000-004-543-10-45-00</t>
  </si>
  <si>
    <t>Copy Machine Lease</t>
  </si>
  <si>
    <t>101-000-004-543-10-45-01</t>
  </si>
  <si>
    <t>101-000-004-543-10-49-00</t>
  </si>
  <si>
    <t>101-000-004-543-10-49-01</t>
  </si>
  <si>
    <t>      Total Administration</t>
  </si>
  <si>
    <t>      Roadway and Street Maintenance</t>
  </si>
  <si>
    <t>101-000-005-542-30-10-01</t>
  </si>
  <si>
    <t>Salaries-Summer Help</t>
  </si>
  <si>
    <t>101-000-005-542-30-10-04</t>
  </si>
  <si>
    <t>101-000-005-542-30-10-10</t>
  </si>
  <si>
    <t>101-000-005-542-30-21-01</t>
  </si>
  <si>
    <t>101-000-005-542-30-21-02</t>
  </si>
  <si>
    <t>101-000-005-542-30-21-03</t>
  </si>
  <si>
    <t>101-000-005-542-30-21-04</t>
  </si>
  <si>
    <t>101-000-005-542-30-21-11</t>
  </si>
  <si>
    <t>101-000-005-542-30-21-12</t>
  </si>
  <si>
    <t>101-000-005-542-30-21-13</t>
  </si>
  <si>
    <t>101-000-005-542-30-21-14</t>
  </si>
  <si>
    <t>101-000-005-542-30-21-15</t>
  </si>
  <si>
    <t>101-000-005-542-30-22-00</t>
  </si>
  <si>
    <t>101-000-005-542-30-22-01</t>
  </si>
  <si>
    <t>101-000-005-542-30-31-10</t>
  </si>
  <si>
    <t>101-000-005-542-30-35-00</t>
  </si>
  <si>
    <t>Small Tools</t>
  </si>
  <si>
    <t>101-000-005-542-30-41-00</t>
  </si>
  <si>
    <t>Prof Serv.</t>
  </si>
  <si>
    <t>101-000-005-542-30-42-01</t>
  </si>
  <si>
    <t>Phone/Cell Phone</t>
  </si>
  <si>
    <t>101-000-005-542-30-43-00</t>
  </si>
  <si>
    <t>101-000-005-542-30-48-00</t>
  </si>
  <si>
    <t>Contract R &amp; M</t>
  </si>
  <si>
    <t>101-000-005-542-30-48-01</t>
  </si>
  <si>
    <t>Contract R &amp; M - Striping</t>
  </si>
  <si>
    <t>101-000-005-542-30-48-02</t>
  </si>
  <si>
    <t>Shop Building Maintenance</t>
  </si>
  <si>
    <t>101-000-005-542-30-48-03</t>
  </si>
  <si>
    <t>Main St. Bridge - Load Rating</t>
  </si>
  <si>
    <t>101-000-005-542-30-49-00</t>
  </si>
  <si>
    <t>101-000-005-542-30-49-01</t>
  </si>
  <si>
    <t>Certifications</t>
  </si>
  <si>
    <t>101-000-005-542-30-49-02</t>
  </si>
  <si>
    <t>101-000-005-542-30-49-03</t>
  </si>
  <si>
    <t>      Total Roadway and Street Maintenance</t>
  </si>
  <si>
    <t>      Street Lighting</t>
  </si>
  <si>
    <t>101-000-006-542-63-47-00</t>
  </si>
  <si>
    <t>Street Lights - PSE</t>
  </si>
  <si>
    <t>      Total Street Lighting</t>
  </si>
  <si>
    <t>      Traffic Control Devices</t>
  </si>
  <si>
    <t>101-000-007-542-64-10-00</t>
  </si>
  <si>
    <t>101-000-007-542-64-10-01</t>
  </si>
  <si>
    <t>101-000-007-542-64-21-01</t>
  </si>
  <si>
    <t>101-000-007-542-64-21-02</t>
  </si>
  <si>
    <t>101-000-007-542-64-21-03</t>
  </si>
  <si>
    <t>101-000-007-542-64-21-04</t>
  </si>
  <si>
    <t>101-000-007-542-64-21-05</t>
  </si>
  <si>
    <t>101-000-007-542-64-22-00</t>
  </si>
  <si>
    <t>Boot/clothing Allowance</t>
  </si>
  <si>
    <t>101-000-007-542-64-22-01</t>
  </si>
  <si>
    <t>101-000-007-542-64-31-10</t>
  </si>
  <si>
    <t>101-000-007-542-64-35-00</t>
  </si>
  <si>
    <t>101-000-007-542-64-48-00</t>
  </si>
  <si>
    <t>      Total Traffic Control Devices</t>
  </si>
  <si>
    <t>      Snow and Ice Control</t>
  </si>
  <si>
    <t>101-000-008-542-66-10-00</t>
  </si>
  <si>
    <t>101-000-008-542-66-10-01</t>
  </si>
  <si>
    <t>101-000-008-542-66-21-01</t>
  </si>
  <si>
    <t>101-000-008-542-66-21-02</t>
  </si>
  <si>
    <t>101-000-008-542-66-21-03</t>
  </si>
  <si>
    <t>101-000-008-542-66-21-04</t>
  </si>
  <si>
    <t>101-000-008-542-66-21-05</t>
  </si>
  <si>
    <t>101-000-008-542-66-21-12</t>
  </si>
  <si>
    <t>101-000-008-542-66-21-13</t>
  </si>
  <si>
    <t>101-000-008-542-66-21-14</t>
  </si>
  <si>
    <t>101-000-008-542-66-22-00</t>
  </si>
  <si>
    <t>101-000-008-542-66-22-01</t>
  </si>
  <si>
    <t>101-000-008-542-66-31-10</t>
  </si>
  <si>
    <t>101-000-008-542-66-49-00</t>
  </si>
  <si>
    <t>      Total Snow and Ice Control</t>
  </si>
  <si>
    <t>      Street Cleaning</t>
  </si>
  <si>
    <t>101-000-009-542-67-10-00</t>
  </si>
  <si>
    <t>101-000-009-542-67-21-01</t>
  </si>
  <si>
    <t>101-000-009-542-67-21-02</t>
  </si>
  <si>
    <t>101-000-009-542-67-21-03</t>
  </si>
  <si>
    <t>101-000-009-542-67-21-04</t>
  </si>
  <si>
    <t>101-000-009-542-67-21-05</t>
  </si>
  <si>
    <t>101-000-009-542-67-22-00</t>
  </si>
  <si>
    <t>101-000-009-542-67-31-10</t>
  </si>
  <si>
    <t>101-000-009-542-67-49-00</t>
  </si>
  <si>
    <t>      Total Street Cleaning</t>
  </si>
  <si>
    <t>101-000-010-597-00-00-15</t>
  </si>
  <si>
    <t>TR to F550 Replace Truck T-5</t>
  </si>
  <si>
    <t>101-000-010-597-00-00-16</t>
  </si>
  <si>
    <t>TR to F550 Replace Dump Truck T-10</t>
  </si>
  <si>
    <t>101-000-010-597-00-00-17</t>
  </si>
  <si>
    <t>TR to F550 Replace Snow Plow T-14</t>
  </si>
  <si>
    <t>101-000-010-597-00-00-18</t>
  </si>
  <si>
    <t>TR to F550 Replace Truck T-8</t>
  </si>
  <si>
    <t>101-000-010-597-00-00-19</t>
  </si>
  <si>
    <t>TR to F550 Replace Truck T-11</t>
  </si>
  <si>
    <t>101-000-010-597-00-00-20</t>
  </si>
  <si>
    <t>TR to F550 Replace S-5</t>
  </si>
  <si>
    <t>101-000-010-597-00-00-21</t>
  </si>
  <si>
    <t>TR to F550 Replace S-21</t>
  </si>
  <si>
    <t>101-000-010-597-00-00-22</t>
  </si>
  <si>
    <t>TR to F550 Replace S-21A</t>
  </si>
  <si>
    <t>101-000-010-597-00-00-23</t>
  </si>
  <si>
    <t>TR to F550 Replace Truck T-3</t>
  </si>
  <si>
    <t>101-000-010-597-00-00-24</t>
  </si>
  <si>
    <t>TR to F550 Replace Truck T-13</t>
  </si>
  <si>
    <t>101-000-010-597-00-00-25</t>
  </si>
  <si>
    <t>TR to F550 Replace T-9</t>
  </si>
  <si>
    <t>101-000-010-597-00-00-26</t>
  </si>
  <si>
    <t>TR to F550 Replace Truck T-20</t>
  </si>
  <si>
    <t>101-000-010-597-00-00-27</t>
  </si>
  <si>
    <t>TR to F550 Replace S-6 Trailer</t>
  </si>
  <si>
    <t>101-000-010-597-00-00-28</t>
  </si>
  <si>
    <t>TR to F550 Replace S-23 Loader</t>
  </si>
  <si>
    <t>101-000-010-597-00-00-29</t>
  </si>
  <si>
    <t>TR to F550 Replace S-61 Brush Attach Skid Steer</t>
  </si>
  <si>
    <t>101-000-010-597-00-00-30</t>
  </si>
  <si>
    <t>TR to F550 Ironworker</t>
  </si>
  <si>
    <t xml:space="preserve">Total Street </t>
  </si>
  <si>
    <t>Park Mitigation</t>
  </si>
  <si>
    <t>102-000-000-597-00-00-11</t>
  </si>
  <si>
    <t xml:space="preserve">TR TO CE 001-Parks </t>
  </si>
  <si>
    <t>102-000-000-597-00-00-12</t>
  </si>
  <si>
    <t>TR TO Street D/S Fund No. 214</t>
  </si>
  <si>
    <t>102-000-000-597-00-00-14</t>
  </si>
  <si>
    <t>TR TO 2010 GO Bond Debt Service Fund No. 218</t>
  </si>
  <si>
    <t>102-000-000-597-00-00-20</t>
  </si>
  <si>
    <t>TR to F310 - Skatepark</t>
  </si>
  <si>
    <t>Total Park Mitigation</t>
  </si>
  <si>
    <t>Traffic Mitigation</t>
  </si>
  <si>
    <t>104-000-000-597-00-00-03</t>
  </si>
  <si>
    <t>Transfer TO Thornton RD 370</t>
  </si>
  <si>
    <t>104-000-000-597-00-00-04</t>
  </si>
  <si>
    <t>Transfer TO Storm F407</t>
  </si>
  <si>
    <t>104-000-001-595-69-00-00</t>
  </si>
  <si>
    <t>Fee Refunds</t>
  </si>
  <si>
    <t>104-000-001-597-00-00-10</t>
  </si>
  <si>
    <t>Trans TO Thornton RD Project Fund 370</t>
  </si>
  <si>
    <t>104-000-001-597-00-00-16</t>
  </si>
  <si>
    <t>Trans TO Street 101</t>
  </si>
  <si>
    <t>Total Traffic Mitigation</t>
  </si>
  <si>
    <t>Criminal Justice</t>
  </si>
  <si>
    <t>106-000-004-597-00-00-01</t>
  </si>
  <si>
    <t>Total Criminal Justice</t>
  </si>
  <si>
    <t>Local Criminal Justice</t>
  </si>
  <si>
    <t>107-000-000-597-00-00-00</t>
  </si>
  <si>
    <t>TR TO Cur Exp 001 PD Ops</t>
  </si>
  <si>
    <t>Total Local Criminal Justice</t>
  </si>
  <si>
    <t>Transportation Benefit District .2% Sales Tax Rev.</t>
  </si>
  <si>
    <t>113-000-000-597-00-00-01</t>
  </si>
  <si>
    <t>TR TO Thornton Rd. 370</t>
  </si>
  <si>
    <t>113-000-000-597-00-00-09</t>
  </si>
  <si>
    <t>Transfers To COF Road Projects</t>
  </si>
  <si>
    <t>113-000-000-597-00-00-12</t>
  </si>
  <si>
    <t>Transfers to COF Road Projects - Fund 101 Crack Sealing</t>
  </si>
  <si>
    <t>113-000-000-597-00-00-13</t>
  </si>
  <si>
    <t>TR to F550 Replace Crack Sealer Unit</t>
  </si>
  <si>
    <t>Total Transportation Benefit District .2% Sales Tax Rev.</t>
  </si>
  <si>
    <t>Complete Streets</t>
  </si>
  <si>
    <t>114-000-000-595-10-60-00</t>
  </si>
  <si>
    <t>Engineering</t>
  </si>
  <si>
    <t>114-000-000-595-30-60-00</t>
  </si>
  <si>
    <t>Construction</t>
  </si>
  <si>
    <t>114-000-000-595-69-10-00</t>
  </si>
  <si>
    <t xml:space="preserve">COF Labor </t>
  </si>
  <si>
    <t>114-000-000-595-69-60-01</t>
  </si>
  <si>
    <t>Vista Crosswalk Constr</t>
  </si>
  <si>
    <t>114-000-000-595-69-60-02</t>
  </si>
  <si>
    <t>Thornton Crosswalk Constr</t>
  </si>
  <si>
    <t>114-000-000-595-69-60-03</t>
  </si>
  <si>
    <t>First &amp; Main Constr</t>
  </si>
  <si>
    <t>114-000-000-595-69-60-04</t>
  </si>
  <si>
    <t>Alder Construction</t>
  </si>
  <si>
    <t>Total Complete Streets</t>
  </si>
  <si>
    <t>American Rescue Plan Act (ARPA)</t>
  </si>
  <si>
    <t>Revenue</t>
  </si>
  <si>
    <t>115-000-000-518-63-00-00</t>
  </si>
  <si>
    <t>Ferndale Chamber of Commerce</t>
  </si>
  <si>
    <t>115-000-000-518-63-00-01</t>
  </si>
  <si>
    <t>115-000-000-518-90-31-10</t>
  </si>
  <si>
    <t>COF Supplies</t>
  </si>
  <si>
    <t>115-000-000-565-10-00-02</t>
  </si>
  <si>
    <t>Main Street Program</t>
  </si>
  <si>
    <t>115-000-000-565-10-40-00</t>
  </si>
  <si>
    <t>Community Service Cooperative Grant</t>
  </si>
  <si>
    <t>115-000-000-594-12-60-00</t>
  </si>
  <si>
    <t>JAVS Court Software</t>
  </si>
  <si>
    <t>115-000-000-594-12-60-01</t>
  </si>
  <si>
    <t>Court/Annex</t>
  </si>
  <si>
    <t>115-000-000-594-18-60-00</t>
  </si>
  <si>
    <t>City Hall IT</t>
  </si>
  <si>
    <t>115-000-000-594-21-60-00</t>
  </si>
  <si>
    <t>Police IT</t>
  </si>
  <si>
    <t>115-000-100-565-10-00-00</t>
  </si>
  <si>
    <t>Unallocated ARPA Funds</t>
  </si>
  <si>
    <t>Total American Rescue Plan Act (ARPA)</t>
  </si>
  <si>
    <t>Total Revenue</t>
  </si>
  <si>
    <t>Hotel Motel</t>
  </si>
  <si>
    <t>198-000-000-557-30-45-00</t>
  </si>
  <si>
    <t>198-000-000-557-30-45-02</t>
  </si>
  <si>
    <t>Farmers Market</t>
  </si>
  <si>
    <t>198-000-000-557-30-49-02</t>
  </si>
  <si>
    <t>198-000-000-557-30-49-03</t>
  </si>
  <si>
    <t>Street Fair</t>
  </si>
  <si>
    <t>198-000-000-557-30-49-11</t>
  </si>
  <si>
    <t>Old Settlers</t>
  </si>
  <si>
    <t>198-000-000-557-30-49-12</t>
  </si>
  <si>
    <t>COC/Heritage Haunt the Park</t>
  </si>
  <si>
    <t>198-000-000-557-30-49-13</t>
  </si>
  <si>
    <t>COC/Heritage Flicks in the Park</t>
  </si>
  <si>
    <t>198-000-000-573-20-41-01</t>
  </si>
  <si>
    <t>Pioneer Pavilion Mural</t>
  </si>
  <si>
    <t>198-000-000-573-90-49-03</t>
  </si>
  <si>
    <t>198-000-000-573-90-49-18</t>
  </si>
  <si>
    <t>Cherry Blossom Festival</t>
  </si>
  <si>
    <t>198-000-000-573-90-49-19</t>
  </si>
  <si>
    <t>Olde Fashioned Christmas</t>
  </si>
  <si>
    <t>198-000-000-573-90-49-20</t>
  </si>
  <si>
    <t>Fernd "Ale" Festival</t>
  </si>
  <si>
    <t>198-000-000-573-90-49-21</t>
  </si>
  <si>
    <t>Jam on the River</t>
  </si>
  <si>
    <t>198-000-000-597-00-00-02</t>
  </si>
  <si>
    <t>TR TO Cur Exp-Park Tourguides</t>
  </si>
  <si>
    <t>198-000-000-597-00-00-08</t>
  </si>
  <si>
    <t xml:space="preserve">TR TO CE 001 Arts Com </t>
  </si>
  <si>
    <t>Total Hotel Motel</t>
  </si>
  <si>
    <t>Street/Parks/Land Debt Service</t>
  </si>
  <si>
    <t>          Redemption Of Long-Term Debt Principal - Gov.  Funds</t>
  </si>
  <si>
    <t>214-000-000-591-18-71-00</t>
  </si>
  <si>
    <t>Local Program Land Purchase Prin.</t>
  </si>
  <si>
    <t>214-000-000-591-76-78-00</t>
  </si>
  <si>
    <t>Whatcom CO Riverwalk Park Prin</t>
  </si>
  <si>
    <t>          Total Redemption Of Long-Term Debt Principal - Gov.  Funds</t>
  </si>
  <si>
    <t>          Interest And Other Debt Service Costs</t>
  </si>
  <si>
    <t>214-000-000-592-18-83-00</t>
  </si>
  <si>
    <t>Local Program Land Purchase Int</t>
  </si>
  <si>
    <t>214-000-000-592-76-83-00</t>
  </si>
  <si>
    <t>Whatcom CO Riverwalk Park Int</t>
  </si>
  <si>
    <t>          Total Interest And Other Debt Service Costs</t>
  </si>
  <si>
    <t>Total Street/Parks/Land Debt Service</t>
  </si>
  <si>
    <t>Labounty LID 2006-1 Bond Redemption</t>
  </si>
  <si>
    <t>          Redemption Of Long-Term Debt - Governmental Funds</t>
  </si>
  <si>
    <t>215-000-000-591-95-73-01</t>
  </si>
  <si>
    <t>Bond Principal</t>
  </si>
  <si>
    <t>          Total Redemption Of Long-Term Debt - Governmental Funds</t>
  </si>
  <si>
    <t>215-000-000-592-95-83-01</t>
  </si>
  <si>
    <t>Bond Interest</t>
  </si>
  <si>
    <t>215-000-000-597-00-00-01</t>
  </si>
  <si>
    <t>TR TO Solid Waste Tax 005 -Excess Balance</t>
  </si>
  <si>
    <t>Total Labounty LID 2006-1 Bond Redemption</t>
  </si>
  <si>
    <t>LaBounty LID 2006-1 Bond Guarantee</t>
  </si>
  <si>
    <t>216-000-000-597-00-00-01</t>
  </si>
  <si>
    <t>TR TO LaBounty D/S 215</t>
  </si>
  <si>
    <t>Total LaBounty LID 2006-1 Bond Guarantee</t>
  </si>
  <si>
    <t>LaBounty GO Bond Debt Service</t>
  </si>
  <si>
    <t>217-000-000-591-95-71-01</t>
  </si>
  <si>
    <t>217-000-000-592-95-83-01</t>
  </si>
  <si>
    <t>Total LaBounty GO Bond Debt Service</t>
  </si>
  <si>
    <t>218-000-000-591-18-71-01</t>
  </si>
  <si>
    <t>218-000-000-592-18-83-01</t>
  </si>
  <si>
    <t>218-000-000-592-18-83-02</t>
  </si>
  <si>
    <t>BONY Fees</t>
  </si>
  <si>
    <t>218-000-000-593-18-70-00</t>
  </si>
  <si>
    <t>Redemption of LTGO BABS</t>
  </si>
  <si>
    <t>218-000-000-593-18-80-00</t>
  </si>
  <si>
    <t>Refunding LTGO BABS Debt Service Costs</t>
  </si>
  <si>
    <t>2011 Limited Tax General Oblig Bond Redemption</t>
  </si>
  <si>
    <t>219-000-000-591-21-71-01</t>
  </si>
  <si>
    <t>219-000-000-592-21-83-01</t>
  </si>
  <si>
    <t>219-000-000-592-21-89-01</t>
  </si>
  <si>
    <t>Total 2011 Limited Tax General Oblig Bond Redemption</t>
  </si>
  <si>
    <t xml:space="preserve">2013 Library LTGO Bond Redemption </t>
  </si>
  <si>
    <t>220-000-000-591-72-70-01</t>
  </si>
  <si>
    <t>220-000-000-592-72-80-01</t>
  </si>
  <si>
    <t xml:space="preserve">Total 2013 Library LTGO Bond Redemption </t>
  </si>
  <si>
    <t>Real Estate Excise Tax - First 1/4 Percent</t>
  </si>
  <si>
    <t>301-000-000-597-00-00-01</t>
  </si>
  <si>
    <t>Trans To 2010 GO Bonds 218</t>
  </si>
  <si>
    <t>301-000-000-597-00-00-03</t>
  </si>
  <si>
    <t>Trans To 2011 GO Bonds 219</t>
  </si>
  <si>
    <t>301-000-000-597-00-00-13</t>
  </si>
  <si>
    <t>Trans To Library 2014 GO Bond Debt Service 220</t>
  </si>
  <si>
    <t>301-000-000-597-00-00-15</t>
  </si>
  <si>
    <t>Transfer to Cur Exp Fund 001</t>
  </si>
  <si>
    <t>301-000-000-597-00-00-17</t>
  </si>
  <si>
    <t>Transfer To 101 Streets</t>
  </si>
  <si>
    <t>301-000-000-597-00-00-18</t>
  </si>
  <si>
    <t>Transfer to Thornton</t>
  </si>
  <si>
    <t>301-000-000-597-00-00-19</t>
  </si>
  <si>
    <t>Transfer to Fund 310</t>
  </si>
  <si>
    <t>Total Real Estate Excise Tax - First 1/4 Percent</t>
  </si>
  <si>
    <t>Real Estate Excise Tax - Second 1/4 Percent</t>
  </si>
  <si>
    <t>302-000-000-597-00-00-09</t>
  </si>
  <si>
    <t>Transfer To Street 101</t>
  </si>
  <si>
    <t>302-000-000-597-00-00-10</t>
  </si>
  <si>
    <t>Transfer To F401</t>
  </si>
  <si>
    <t>302-000-000-597-00-00-11</t>
  </si>
  <si>
    <t>302-000-000-597-00-00-12</t>
  </si>
  <si>
    <t>Transfer to Fund 414 Shop Well 2</t>
  </si>
  <si>
    <t>302-000-000-597-00-00-13</t>
  </si>
  <si>
    <t>Total Real Estate Excise Tax - Second 1/4 Percent</t>
  </si>
  <si>
    <t>Metalworks Skate Park</t>
  </si>
  <si>
    <t>310-000-000-594-75-10-00</t>
  </si>
  <si>
    <t>Skate Park COF Labor</t>
  </si>
  <si>
    <t>310-000-000-594-75-21-01</t>
  </si>
  <si>
    <t>Benefits - Medical</t>
  </si>
  <si>
    <t>310-000-000-594-75-21-02</t>
  </si>
  <si>
    <t>Benefits - L&amp;I</t>
  </si>
  <si>
    <t>310-000-000-594-75-21-03</t>
  </si>
  <si>
    <t>Benefits - Social Security</t>
  </si>
  <si>
    <t>310-000-000-594-75-21-04</t>
  </si>
  <si>
    <t>Benefits - Retirement</t>
  </si>
  <si>
    <t>310-000-000-594-75-21-05</t>
  </si>
  <si>
    <t>310-000-000-594-75-60-00</t>
  </si>
  <si>
    <t>Skate Park Design</t>
  </si>
  <si>
    <t>310-000-000-594-75-60-01</t>
  </si>
  <si>
    <t>Skate Park Construction</t>
  </si>
  <si>
    <t>Total Metalworks Skate Park</t>
  </si>
  <si>
    <t xml:space="preserve">Thornton Road Construction </t>
  </si>
  <si>
    <t>          Roads/Streets Construction &amp; Other Infrastructure</t>
  </si>
  <si>
    <t>370-000-000-595-10-00-04</t>
  </si>
  <si>
    <t>PS&amp;E 370</t>
  </si>
  <si>
    <t>370-000-000-595-10-44-00</t>
  </si>
  <si>
    <t>370-000-000-595-10-60-00</t>
  </si>
  <si>
    <t>Engineering Fund 370</t>
  </si>
  <si>
    <t>370-000-000-595-10-60-01</t>
  </si>
  <si>
    <t>CE/CM Thornton Rd 370</t>
  </si>
  <si>
    <t>370-000-000-595-20-00-01</t>
  </si>
  <si>
    <t>ROW - Management 370</t>
  </si>
  <si>
    <t>370-000-000-595-20-10-01</t>
  </si>
  <si>
    <t>ROW Management 370 COF Labor</t>
  </si>
  <si>
    <t>370-000-000-595-20-60-02</t>
  </si>
  <si>
    <t>ROW - Acquisition 370</t>
  </si>
  <si>
    <t>370-000-000-595-30-10-02</t>
  </si>
  <si>
    <t>Construction Project 370 CN COF Labor</t>
  </si>
  <si>
    <t>370-000-000-595-30-60-00</t>
  </si>
  <si>
    <t>Construction Project CN 370</t>
  </si>
  <si>
    <t>370-000-000-595-30-60-03</t>
  </si>
  <si>
    <t>CM Misc. 370</t>
  </si>
  <si>
    <t>          Total Roads/Streets Construction &amp; Other Infrastructure</t>
  </si>
  <si>
    <t>370-000-000-597-00-00-02</t>
  </si>
  <si>
    <t>Transfer to Solid Waste F005</t>
  </si>
  <si>
    <t>370-000-100-591-95-70-00</t>
  </si>
  <si>
    <t>Anticipation Note Principal</t>
  </si>
  <si>
    <t>370-000-100-592-95-80-00</t>
  </si>
  <si>
    <t>Anticipation Note Debt Service Costs</t>
  </si>
  <si>
    <t xml:space="preserve">Total Thornton Road Construction </t>
  </si>
  <si>
    <t xml:space="preserve">Water </t>
  </si>
  <si>
    <t>            Administration - General</t>
  </si>
  <si>
    <t>401-000-001-534-10-10-00</t>
  </si>
  <si>
    <t>401-000-001-534-10-10-01</t>
  </si>
  <si>
    <t>401-000-001-534-10-21-01</t>
  </si>
  <si>
    <t>401-000-001-534-10-21-02</t>
  </si>
  <si>
    <t>401-000-001-534-10-21-03</t>
  </si>
  <si>
    <t>401-000-001-534-10-21-04</t>
  </si>
  <si>
    <t>401-000-001-534-10-21-05</t>
  </si>
  <si>
    <t>401-000-001-534-10-22-00</t>
  </si>
  <si>
    <t>401-000-001-534-10-30-00</t>
  </si>
  <si>
    <t>Autoread Software Maint.</t>
  </si>
  <si>
    <t>401-000-001-534-10-31-01</t>
  </si>
  <si>
    <t>401-000-001-534-10-31-10</t>
  </si>
  <si>
    <t>401-000-001-534-10-40-00</t>
  </si>
  <si>
    <t>401-000-001-534-10-40-02</t>
  </si>
  <si>
    <t>Vehicle Rental - Fund 550</t>
  </si>
  <si>
    <t>401-000-001-534-10-40-04</t>
  </si>
  <si>
    <t>401-000-001-534-10-41-00</t>
  </si>
  <si>
    <t>Professional Services 401.000.001</t>
  </si>
  <si>
    <t>401-000-001-534-10-41-01</t>
  </si>
  <si>
    <t>Prof Services Comp Plan Update</t>
  </si>
  <si>
    <t>401-000-001-534-10-41-03</t>
  </si>
  <si>
    <t>Prof Serv Billings/Stuff/Print/Dep/CC/Bank Fees</t>
  </si>
  <si>
    <t>401-000-001-534-10-42-00</t>
  </si>
  <si>
    <t>401-000-001-534-10-42-01</t>
  </si>
  <si>
    <t>401-000-001-534-10-43-00</t>
  </si>
  <si>
    <t>401-000-001-534-10-44-00</t>
  </si>
  <si>
    <t>Public Notice Publication</t>
  </si>
  <si>
    <t>401-000-001-534-10-45-00</t>
  </si>
  <si>
    <t>401-000-001-534-10-45-01</t>
  </si>
  <si>
    <t>401-000-001-534-10-48-00</t>
  </si>
  <si>
    <t>401-000-001-534-10-49-00</t>
  </si>
  <si>
    <t>401-000-001-534-10-49-01</t>
  </si>
  <si>
    <t>Water Resource Council Dues</t>
  </si>
  <si>
    <t>401-000-001-534-10-49-03</t>
  </si>
  <si>
    <t>B&amp;O/Excise Tax</t>
  </si>
  <si>
    <t>401-000-001-534-10-49-04</t>
  </si>
  <si>
    <t>COF Monthly Utility Tax - Water</t>
  </si>
  <si>
    <t>            Total Administration - General</t>
  </si>
  <si>
    <t>            Maintenance</t>
  </si>
  <si>
    <t>401-000-002-534-50-10-00</t>
  </si>
  <si>
    <t>401-000-002-534-50-10-01</t>
  </si>
  <si>
    <t>401-000-002-534-50-10-10</t>
  </si>
  <si>
    <t>401-000-002-534-50-21-01</t>
  </si>
  <si>
    <t>401-000-002-534-50-21-02</t>
  </si>
  <si>
    <t>401-000-002-534-50-21-03</t>
  </si>
  <si>
    <t>401-000-002-534-50-21-04</t>
  </si>
  <si>
    <t>401-000-002-534-50-21-07</t>
  </si>
  <si>
    <t>401-000-002-534-50-21-08</t>
  </si>
  <si>
    <t>401-000-002-534-50-21-12</t>
  </si>
  <si>
    <t>401-000-002-534-50-21-13</t>
  </si>
  <si>
    <t>401-000-002-534-50-21-14</t>
  </si>
  <si>
    <t>401-000-002-534-50-22-00</t>
  </si>
  <si>
    <t>401-000-002-534-50-22-01</t>
  </si>
  <si>
    <t>401-000-002-534-50-31-10</t>
  </si>
  <si>
    <t>O &amp; M Supplies 401.000.002</t>
  </si>
  <si>
    <t>401-000-002-534-50-31-11</t>
  </si>
  <si>
    <t>O &amp; M Supplies-Comm'l Meters</t>
  </si>
  <si>
    <t>401-000-002-534-50-31-12</t>
  </si>
  <si>
    <t>O &amp; M Supplies-Fire Hydrants</t>
  </si>
  <si>
    <t>401-000-002-534-50-35-00</t>
  </si>
  <si>
    <t>401-000-002-534-50-41-00</t>
  </si>
  <si>
    <t>Professional Services 401.000.002</t>
  </si>
  <si>
    <t>401-000-002-534-50-42-00</t>
  </si>
  <si>
    <t>401-000-002-534-50-43-00</t>
  </si>
  <si>
    <t>401-000-002-534-50-48-01</t>
  </si>
  <si>
    <t>401-000-002-534-50-49-00</t>
  </si>
  <si>
    <t>401-000-002-534-50-49-01</t>
  </si>
  <si>
    <t>            Total Maintenance</t>
  </si>
  <si>
    <t xml:space="preserve">            Operations </t>
  </si>
  <si>
    <t>401-000-004-534-80-10-01</t>
  </si>
  <si>
    <t>401-000-004-534-80-10-02</t>
  </si>
  <si>
    <t>401-000-004-534-80-10-03</t>
  </si>
  <si>
    <t>Salaries - Summer Help</t>
  </si>
  <si>
    <t>401-000-004-534-80-21-01</t>
  </si>
  <si>
    <t>401-000-004-534-80-21-02</t>
  </si>
  <si>
    <t>401-000-004-534-80-21-03</t>
  </si>
  <si>
    <t>401-000-004-534-80-21-04</t>
  </si>
  <si>
    <t>401-000-004-534-80-21-05</t>
  </si>
  <si>
    <t>Benefits-Retirement Pmt TO Drs</t>
  </si>
  <si>
    <t>401-000-004-534-80-21-06</t>
  </si>
  <si>
    <t>401-000-004-534-80-21-12</t>
  </si>
  <si>
    <t>401-000-004-534-80-21-13</t>
  </si>
  <si>
    <t>401-000-004-534-80-21-14</t>
  </si>
  <si>
    <t>401-000-004-534-80-22-00</t>
  </si>
  <si>
    <t>401-000-004-534-80-31-10</t>
  </si>
  <si>
    <t>O &amp; M Supplies 401.000.004</t>
  </si>
  <si>
    <t>401-000-004-534-80-31-11</t>
  </si>
  <si>
    <t>O &amp; M Lab Supplies</t>
  </si>
  <si>
    <t>401-000-004-534-80-31-12</t>
  </si>
  <si>
    <t>O &amp; M Chlorine Supples</t>
  </si>
  <si>
    <t>401-000-004-534-80-31-13</t>
  </si>
  <si>
    <t>O &amp; M Clay Valve WTP Dist Supply</t>
  </si>
  <si>
    <t>401-000-004-534-80-31-14</t>
  </si>
  <si>
    <t>O &amp; M Polymers</t>
  </si>
  <si>
    <t>401-000-004-534-80-31-16</t>
  </si>
  <si>
    <t>CO2</t>
  </si>
  <si>
    <t>401-000-004-534-80-31-17</t>
  </si>
  <si>
    <t>Mineral Addition</t>
  </si>
  <si>
    <t>401-000-004-534-80-34-02</t>
  </si>
  <si>
    <t>Laboratory Testing</t>
  </si>
  <si>
    <t>401-000-004-534-80-35-00</t>
  </si>
  <si>
    <t>Miscellaneous Small Tools</t>
  </si>
  <si>
    <t>401-000-004-534-80-41-00</t>
  </si>
  <si>
    <t>Professional Services 401.000.004</t>
  </si>
  <si>
    <t>401-000-004-534-80-41-02</t>
  </si>
  <si>
    <t>401-000-004-534-80-42-00</t>
  </si>
  <si>
    <t>Phone-Communication</t>
  </si>
  <si>
    <t>401-000-004-534-80-43-00</t>
  </si>
  <si>
    <t>401-000-004-534-80-47-02</t>
  </si>
  <si>
    <t>401-000-004-534-80-47-03</t>
  </si>
  <si>
    <t>Water &amp; Sewer Utilities</t>
  </si>
  <si>
    <t>401-000-004-534-80-47-04</t>
  </si>
  <si>
    <t>Utilities-Natural Gas</t>
  </si>
  <si>
    <t>401-000-004-534-80-48-00</t>
  </si>
  <si>
    <t>401-000-004-534-80-48-01</t>
  </si>
  <si>
    <t>Contract R&amp;M-Generator Service 401.000.004</t>
  </si>
  <si>
    <t>401-000-004-534-80-49-00</t>
  </si>
  <si>
    <t>401-000-004-534-80-49-02</t>
  </si>
  <si>
    <t>401-000-004-534-80-49-03</t>
  </si>
  <si>
    <t>Miscellaneous/Training</t>
  </si>
  <si>
    <t>401-000-004-534-80-49-11</t>
  </si>
  <si>
    <t>Intergovernment-Dept of Health</t>
  </si>
  <si>
    <t xml:space="preserve">            Total Operations </t>
  </si>
  <si>
    <t>401-000-005-591-34-00-00</t>
  </si>
  <si>
    <t>Debt Service</t>
  </si>
  <si>
    <t>401-000-005-594-34-10-00</t>
  </si>
  <si>
    <t>Nordic/Scout Waterline COF Labor</t>
  </si>
  <si>
    <t>401-000-005-594-34-60-27</t>
  </si>
  <si>
    <t>Church Rd. Pump Station Upgrade</t>
  </si>
  <si>
    <t>401-000-005-594-34-60-28</t>
  </si>
  <si>
    <t>Thornton Rd. Pump Station Upgrade</t>
  </si>
  <si>
    <t>401-000-005-594-34-60-29</t>
  </si>
  <si>
    <t>401-000-005-594-34-60-32</t>
  </si>
  <si>
    <t>WA Street Main to Vista</t>
  </si>
  <si>
    <t>401-000-005-594-34-63-15</t>
  </si>
  <si>
    <t>Long Term Water Planning</t>
  </si>
  <si>
    <t>401-000-005-594-34-63-18</t>
  </si>
  <si>
    <t>Primary Power Meter Replacement CN 401</t>
  </si>
  <si>
    <t>401-000-005-594-34-63-23</t>
  </si>
  <si>
    <t>Wellhead Protection Plan</t>
  </si>
  <si>
    <t>401-000-005-594-34-63-48</t>
  </si>
  <si>
    <t>Third St. Construction</t>
  </si>
  <si>
    <t>401-000-005-594-34-63-49</t>
  </si>
  <si>
    <t>Well Capacity Development</t>
  </si>
  <si>
    <t>401-000-005-594-34-63-50</t>
  </si>
  <si>
    <t>Shop Well 2</t>
  </si>
  <si>
    <t>401-000-005-594-34-63-51</t>
  </si>
  <si>
    <t>Douglas Well #2</t>
  </si>
  <si>
    <t>401-000-005-594-34-63-52</t>
  </si>
  <si>
    <t>RO Membranes</t>
  </si>
  <si>
    <t>401-000-005-594-34-63-53</t>
  </si>
  <si>
    <t>Water Treatment Plant Upgrade</t>
  </si>
  <si>
    <t>401-000-005-594-34-63-54</t>
  </si>
  <si>
    <t>Shop Well #2 - Well House</t>
  </si>
  <si>
    <t>401-000-005-594-34-63-55</t>
  </si>
  <si>
    <t>Nordic to Hovander - Water Main</t>
  </si>
  <si>
    <t>401-000-005-594-34-63-56</t>
  </si>
  <si>
    <t>Asset Management Software</t>
  </si>
  <si>
    <t>401-000-005-594-34-63-57</t>
  </si>
  <si>
    <t>Intertie Design</t>
  </si>
  <si>
    <t>401-000-005-594-34-63-58</t>
  </si>
  <si>
    <t>PS #19 Waterline</t>
  </si>
  <si>
    <t>401-000-005-594-34-63-59</t>
  </si>
  <si>
    <t>Thornton</t>
  </si>
  <si>
    <t>401-000-005-594-34-63-60</t>
  </si>
  <si>
    <t>Thornton (Vista to Malloy)</t>
  </si>
  <si>
    <t>401-000-005-594-34-63-61</t>
  </si>
  <si>
    <t>Other Capital</t>
  </si>
  <si>
    <t>401-000-005-594-34-63-62</t>
  </si>
  <si>
    <t>Intertie Construction</t>
  </si>
  <si>
    <t>401-000-005-597-00-00-11</t>
  </si>
  <si>
    <t>TR TO 96/05/11 Water Sewer Revenue Bonds D/S 403</t>
  </si>
  <si>
    <t>401-000-005-597-00-00-12</t>
  </si>
  <si>
    <t>401-000-005-597-00-00-13</t>
  </si>
  <si>
    <t>401-000-005-597-00-00-14</t>
  </si>
  <si>
    <t>401-000-005-597-00-00-15</t>
  </si>
  <si>
    <t>401-000-005-597-00-00-16</t>
  </si>
  <si>
    <t>401-000-005-597-00-00-17</t>
  </si>
  <si>
    <t>401-000-005-597-00-00-18</t>
  </si>
  <si>
    <t>401-000-005-597-00-00-19</t>
  </si>
  <si>
    <t>401-000-005-597-00-00-20</t>
  </si>
  <si>
    <t>401-000-005-597-00-00-21</t>
  </si>
  <si>
    <t>401-000-005-597-00-00-22</t>
  </si>
  <si>
    <t>401-000-005-597-00-00-23</t>
  </si>
  <si>
    <t>401-000-005-597-00-00-24</t>
  </si>
  <si>
    <t>401-000-005-597-00-83-04</t>
  </si>
  <si>
    <t>Trans TO Util. Cap. Resv. 409</t>
  </si>
  <si>
    <t>401-000-005-597-00-83-06</t>
  </si>
  <si>
    <t>TR TO Util Loan Svc 408 Boostr</t>
  </si>
  <si>
    <t>401-000-005-597-00-83-07</t>
  </si>
  <si>
    <t>TR TO Util Loan Svc 408 2016 Equipment Purchases (LOCAL)</t>
  </si>
  <si>
    <t>401-000-005-597-00-83-20</t>
  </si>
  <si>
    <t>TR to F403 2020 Water Revenue Bond</t>
  </si>
  <si>
    <t>401-000-100-582-10-00-01</t>
  </si>
  <si>
    <t>401-000-100-588-10-00-00</t>
  </si>
  <si>
    <t>401-000-100-592-34-84-06</t>
  </si>
  <si>
    <t>2020 Revenue Bonds - Cost of Issuance</t>
  </si>
  <si>
    <t xml:space="preserve">Total Water </t>
  </si>
  <si>
    <t xml:space="preserve">Sewer </t>
  </si>
  <si>
    <t>402-000-001-535-10-10-00</t>
  </si>
  <si>
    <t>402-000-001-535-10-10-01</t>
  </si>
  <si>
    <t>402-000-001-535-10-21-01</t>
  </si>
  <si>
    <t>402-000-001-535-10-21-02</t>
  </si>
  <si>
    <t>402-000-001-535-10-21-03</t>
  </si>
  <si>
    <t>402-000-001-535-10-21-04</t>
  </si>
  <si>
    <t>402-000-001-535-10-21-09</t>
  </si>
  <si>
    <t>402-000-001-535-10-22-00</t>
  </si>
  <si>
    <t>402-000-001-535-10-31-01</t>
  </si>
  <si>
    <t>402-000-001-535-10-31-10</t>
  </si>
  <si>
    <t>402-000-001-535-10-40-00</t>
  </si>
  <si>
    <t>402-000-001-535-10-40-02</t>
  </si>
  <si>
    <t>402-000-001-535-10-40-04</t>
  </si>
  <si>
    <t>402-000-001-535-10-41-06</t>
  </si>
  <si>
    <t>Professional Services 402.000.001</t>
  </si>
  <si>
    <t>402-000-001-535-10-41-08</t>
  </si>
  <si>
    <t>Prof Serv Billings/Fold/Stuff/Print</t>
  </si>
  <si>
    <t>402-000-001-535-10-42-00</t>
  </si>
  <si>
    <t>402-000-001-535-10-42-01</t>
  </si>
  <si>
    <t>402-000-001-535-10-43-00</t>
  </si>
  <si>
    <t>402-000-001-535-10-44-00</t>
  </si>
  <si>
    <t>402-000-001-535-10-45-00</t>
  </si>
  <si>
    <t>402-000-001-535-10-45-01</t>
  </si>
  <si>
    <t>402-000-001-535-10-49-00</t>
  </si>
  <si>
    <t>Miscellaneous 402.000.001</t>
  </si>
  <si>
    <t>402-000-001-535-10-49-03</t>
  </si>
  <si>
    <t>402-000-001-535-10-49-04</t>
  </si>
  <si>
    <t>COF Monthly Utility Tax - Sewer</t>
  </si>
  <si>
    <t>402-000-002-535-50-10-05</t>
  </si>
  <si>
    <t>402-000-002-535-50-10-10</t>
  </si>
  <si>
    <t>402-000-002-535-50-21-01</t>
  </si>
  <si>
    <t>402-000-002-535-50-21-02</t>
  </si>
  <si>
    <t>402-000-002-535-50-21-03</t>
  </si>
  <si>
    <t>402-000-002-535-50-21-04</t>
  </si>
  <si>
    <t>402-000-002-535-50-21-08</t>
  </si>
  <si>
    <t>402-000-002-535-50-21-09</t>
  </si>
  <si>
    <t>402-000-002-535-50-21-12</t>
  </si>
  <si>
    <t>402-000-002-535-50-21-13</t>
  </si>
  <si>
    <t>402-000-002-535-50-21-14</t>
  </si>
  <si>
    <t>402-000-002-535-50-22-00</t>
  </si>
  <si>
    <t>402-000-002-535-50-22-01</t>
  </si>
  <si>
    <t>402-000-002-535-50-31-10</t>
  </si>
  <si>
    <t>O &amp; M Supplies 402.000.002</t>
  </si>
  <si>
    <t>402-000-002-535-50-35-00</t>
  </si>
  <si>
    <t>402-000-002-535-50-41-00</t>
  </si>
  <si>
    <t>Professional Services 402.000.002</t>
  </si>
  <si>
    <t>402-000-002-535-50-41-02</t>
  </si>
  <si>
    <t>Professional Services-Generator Load Testing</t>
  </si>
  <si>
    <t>402-000-002-535-50-43-00</t>
  </si>
  <si>
    <t>402-000-002-535-50-48-00</t>
  </si>
  <si>
    <t>402-000-002-535-50-49-00</t>
  </si>
  <si>
    <t>402-000-002-535-50-49-01</t>
  </si>
  <si>
    <t>          Operations - Sludge Disposal</t>
  </si>
  <si>
    <t>402-000-003-535-10-44-00</t>
  </si>
  <si>
    <t>402-000-003-535-80-41-00</t>
  </si>
  <si>
    <t>Sludge Disposal/Biosolids Mgmt</t>
  </si>
  <si>
    <t>402-000-003-535-80-41-01</t>
  </si>
  <si>
    <t>Sludge Disposal-Permits</t>
  </si>
  <si>
    <t>          Total Operations - Sludge Disposal</t>
  </si>
  <si>
    <t>            Operations - General</t>
  </si>
  <si>
    <t>402-000-004-535-80-10-01</t>
  </si>
  <si>
    <t>402-000-004-535-80-10-02</t>
  </si>
  <si>
    <t>402-000-004-535-80-10-03</t>
  </si>
  <si>
    <t>402-000-004-535-80-21-01</t>
  </si>
  <si>
    <t>402-000-004-535-80-21-02</t>
  </si>
  <si>
    <t>402-000-004-535-80-21-03</t>
  </si>
  <si>
    <t>402-000-004-535-80-21-04</t>
  </si>
  <si>
    <t>402-000-004-535-80-21-05</t>
  </si>
  <si>
    <t>402-000-004-535-80-21-06</t>
  </si>
  <si>
    <t>402-000-004-535-80-21-12</t>
  </si>
  <si>
    <t>402-000-004-535-80-21-13</t>
  </si>
  <si>
    <t>402-000-004-535-80-21-14</t>
  </si>
  <si>
    <t>402-000-004-535-80-22-00</t>
  </si>
  <si>
    <t>402-000-004-535-80-31-10</t>
  </si>
  <si>
    <t>O&amp;M Supplies - Other 402.000.004</t>
  </si>
  <si>
    <t>402-000-004-535-80-31-11</t>
  </si>
  <si>
    <t>O&amp;M - Lab Supplies 402</t>
  </si>
  <si>
    <t>402-000-004-535-80-31-12</t>
  </si>
  <si>
    <t>O&amp;M - Filter Supplies 402</t>
  </si>
  <si>
    <t>402-000-004-535-80-31-16</t>
  </si>
  <si>
    <t>O&amp;M - Polymers 402</t>
  </si>
  <si>
    <t>402-000-004-535-80-31-17</t>
  </si>
  <si>
    <t>O&amp;M - Chlorine &amp; Sulfer Dioxide (Cl2/SO2) Supplies 402</t>
  </si>
  <si>
    <t>402-000-004-535-80-35-00</t>
  </si>
  <si>
    <t>402-000-004-535-80-41-00</t>
  </si>
  <si>
    <t>Professional Services 402.000.004</t>
  </si>
  <si>
    <t>402-000-004-535-80-41-01</t>
  </si>
  <si>
    <t>Lab Testing</t>
  </si>
  <si>
    <t>402-000-004-535-80-41-03</t>
  </si>
  <si>
    <t>402-000-004-535-80-42-00</t>
  </si>
  <si>
    <t>402-000-004-535-80-43-00</t>
  </si>
  <si>
    <t>402-000-004-535-80-47-01</t>
  </si>
  <si>
    <t>402-000-004-535-80-47-02</t>
  </si>
  <si>
    <t>402-000-004-535-80-47-03</t>
  </si>
  <si>
    <t>Utilities-Water/sewer</t>
  </si>
  <si>
    <t>402-000-004-535-80-47-04</t>
  </si>
  <si>
    <t>Pump Station Propane</t>
  </si>
  <si>
    <t>402-000-004-535-80-48-00</t>
  </si>
  <si>
    <t>402-000-004-535-80-48-01</t>
  </si>
  <si>
    <t>Contract R&amp;M-Generator Service 402.000.004</t>
  </si>
  <si>
    <t>402-000-004-535-80-48-03</t>
  </si>
  <si>
    <t>Contract R &amp; M - Aerators</t>
  </si>
  <si>
    <t>402-000-004-535-80-49-00</t>
  </si>
  <si>
    <t>402-000-004-535-80-49-01</t>
  </si>
  <si>
    <t>NPDES</t>
  </si>
  <si>
    <t>402-000-004-535-80-49-02</t>
  </si>
  <si>
    <t>402-000-004-535-80-49-03</t>
  </si>
  <si>
    <t>Miscellaneous/training</t>
  </si>
  <si>
    <t>402-000-004-535-80-49-11</t>
  </si>
  <si>
    <t>Dam Safety Permit - DOE</t>
  </si>
  <si>
    <t>            Total Operations - General</t>
  </si>
  <si>
    <t>402-000-005-594-35-10-01</t>
  </si>
  <si>
    <t>Thornton Sewer Ext COF Labor</t>
  </si>
  <si>
    <t>402-000-005-594-35-10-02</t>
  </si>
  <si>
    <t>Pumpstation #19 Decommission COF Labor</t>
  </si>
  <si>
    <t>402-000-005-594-35-10-03</t>
  </si>
  <si>
    <t>Pump Station #15 Decommission COF Labor</t>
  </si>
  <si>
    <t>402-000-005-594-35-60-47</t>
  </si>
  <si>
    <t>402-000-005-594-35-60-48</t>
  </si>
  <si>
    <t>402-000-005-594-35-63-36</t>
  </si>
  <si>
    <t>LaBounty Sewer Design/PS&amp;E</t>
  </si>
  <si>
    <t>402-000-005-594-35-63-37</t>
  </si>
  <si>
    <t>LaBounty Sewer CN</t>
  </si>
  <si>
    <t>402-000-005-594-35-63-38</t>
  </si>
  <si>
    <t>LaBounty Sewer CE/CM</t>
  </si>
  <si>
    <t>402-000-005-594-35-63-39</t>
  </si>
  <si>
    <t>LaBounty Sewer Misc.</t>
  </si>
  <si>
    <t>402-000-005-594-35-63-43</t>
  </si>
  <si>
    <t>Thornton Sewer Ext. Design/PS&amp;E</t>
  </si>
  <si>
    <t>402-000-005-594-35-63-44</t>
  </si>
  <si>
    <t>Thornton Sewer Ext. CE/CM</t>
  </si>
  <si>
    <t>402-000-005-594-35-63-45</t>
  </si>
  <si>
    <t>Thornton Sewer Ext. CN</t>
  </si>
  <si>
    <t>402-000-005-594-35-63-46</t>
  </si>
  <si>
    <t>Thornton Sewer Ext. Misc.</t>
  </si>
  <si>
    <t>402-000-005-594-35-63-49</t>
  </si>
  <si>
    <t xml:space="preserve">Grandview Sewer Extension </t>
  </si>
  <si>
    <t>402-000-005-594-35-63-51</t>
  </si>
  <si>
    <t>Pumpstation #19 Decommission</t>
  </si>
  <si>
    <t>402-000-005-594-35-63-53</t>
  </si>
  <si>
    <t>WWTP Project CN</t>
  </si>
  <si>
    <t>402-000-005-594-35-63-54</t>
  </si>
  <si>
    <t>Ebir Lane Sewer Rehab</t>
  </si>
  <si>
    <t>402-000-005-594-35-63-55</t>
  </si>
  <si>
    <t>402-000-005-594-35-63-56</t>
  </si>
  <si>
    <t>402-000-005-594-35-63-57</t>
  </si>
  <si>
    <t>402-000-005-594-35-63-58</t>
  </si>
  <si>
    <t>Pumpstation #15 Decommission</t>
  </si>
  <si>
    <t>402-000-005-597-00-00-04</t>
  </si>
  <si>
    <t>Trans TO 96/05/11/14 Sewer Bonds 403</t>
  </si>
  <si>
    <t>402-000-005-597-00-00-08</t>
  </si>
  <si>
    <t>402-000-005-597-00-00-13</t>
  </si>
  <si>
    <t>TR to WWTP Construction Fund 415</t>
  </si>
  <si>
    <t>402-000-005-597-00-00-14</t>
  </si>
  <si>
    <t>402-000-005-597-00-00-15</t>
  </si>
  <si>
    <t>402-000-005-597-00-00-16</t>
  </si>
  <si>
    <t>402-000-005-597-00-00-17</t>
  </si>
  <si>
    <t>402-000-005-597-00-00-18</t>
  </si>
  <si>
    <t>402-000-005-597-00-00-19</t>
  </si>
  <si>
    <t>402-000-005-597-00-00-20</t>
  </si>
  <si>
    <t>TR to F415 WWTP CN</t>
  </si>
  <si>
    <t>402-000-005-597-00-00-21</t>
  </si>
  <si>
    <t>402-000-005-597-00-00-22</t>
  </si>
  <si>
    <t>402-000-005-597-00-00-23</t>
  </si>
  <si>
    <t>TR to Fund 550 Replace Snow Plow T-14</t>
  </si>
  <si>
    <t>402-000-005-597-00-00-24</t>
  </si>
  <si>
    <t>402-000-005-597-00-00-25</t>
  </si>
  <si>
    <t>402-000-005-597-00-00-26</t>
  </si>
  <si>
    <t>TR to F550 Replace T-31</t>
  </si>
  <si>
    <t>402-000-005-597-00-86-01</t>
  </si>
  <si>
    <t>Transfer TO WWTP Loan Fund 405</t>
  </si>
  <si>
    <t>402-000-100-582-10-00-01</t>
  </si>
  <si>
    <t>402-000-100-588-10-00-00</t>
  </si>
  <si>
    <t>402-000-100-589-00-00-00</t>
  </si>
  <si>
    <t>Latecomers</t>
  </si>
  <si>
    <t xml:space="preserve">Total Sewer </t>
  </si>
  <si>
    <t>2005/2011 Water/Sewer Bond Redemption</t>
  </si>
  <si>
    <t>          Bond Principal Payments</t>
  </si>
  <si>
    <t>403-000-100-591-31-72-01</t>
  </si>
  <si>
    <t>Bond Principal Storm 2014 Revenue Bond</t>
  </si>
  <si>
    <t>403-000-100-591-34-72-02</t>
  </si>
  <si>
    <t>Bond Principal Water 2011 Revenue Bond</t>
  </si>
  <si>
    <t>403-000-100-591-34-72-03</t>
  </si>
  <si>
    <t>Bond Principal Water 2020 Revenue Bond (2011 Ref)</t>
  </si>
  <si>
    <t>403-000-100-591-34-72-04</t>
  </si>
  <si>
    <t>Bond Principal Water 2020 Revenue Bond</t>
  </si>
  <si>
    <t>403-000-100-591-35-72-02</t>
  </si>
  <si>
    <t>Bond Principal Sewer 2011 Revenue Bond</t>
  </si>
  <si>
    <t>403-000-100-591-35-72-03</t>
  </si>
  <si>
    <t>Bond Principal Sewer 2014 Revenue Bond</t>
  </si>
  <si>
    <t>403-000-100-591-35-72-05</t>
  </si>
  <si>
    <t>Bond Principal Sewer 2020 Revenue Bond (2011 Ref)</t>
  </si>
  <si>
    <t>          Total Bond Principal Payments</t>
  </si>
  <si>
    <t>403-000-100-592-31-83-01</t>
  </si>
  <si>
    <t>Bond Interest Storm 2014 Revenue Bond</t>
  </si>
  <si>
    <t>403-000-100-592-34-83-01</t>
  </si>
  <si>
    <t>Bond Interest Water 2011 Revenue Bond</t>
  </si>
  <si>
    <t>403-000-100-592-34-83-02</t>
  </si>
  <si>
    <t>Bond Interest Water 2020 Revenue Bond (2011 Ref)</t>
  </si>
  <si>
    <t>403-000-100-592-34-83-03</t>
  </si>
  <si>
    <t>Bond Interest Water 2020 Revenue Bond</t>
  </si>
  <si>
    <t>403-000-100-592-34-83-07</t>
  </si>
  <si>
    <t>Refunding Debt Service Costs Water</t>
  </si>
  <si>
    <t>403-000-100-592-35-83-02</t>
  </si>
  <si>
    <t>Bond Interest Sewer 2011 Revenue Bond</t>
  </si>
  <si>
    <t>403-000-100-592-35-83-03</t>
  </si>
  <si>
    <t>403-000-100-592-35-83-04</t>
  </si>
  <si>
    <t>Bond Interest Sewer 2014 Revenue Bond</t>
  </si>
  <si>
    <t>403-000-100-592-35-83-06</t>
  </si>
  <si>
    <t>Bond Interest Sewer 2020 Revenue Bond (2011 Ref)</t>
  </si>
  <si>
    <t>403-000-100-592-35-83-07</t>
  </si>
  <si>
    <t>Refunding Debt Service costs Sewer</t>
  </si>
  <si>
    <t>403-000-100-592-38-83-02</t>
  </si>
  <si>
    <t>Refunding Debt Service Costs</t>
  </si>
  <si>
    <t>403-000-100-593-34-70-00</t>
  </si>
  <si>
    <t>Redemption of 2011 Debt Water</t>
  </si>
  <si>
    <t>403-000-100-593-34-80-00</t>
  </si>
  <si>
    <t>403-000-100-593-35-70-00</t>
  </si>
  <si>
    <t>Redemption of 2011 Debt Sewer</t>
  </si>
  <si>
    <t>403-000-100-593-35-80-00</t>
  </si>
  <si>
    <t>403-000-100-593-38-72-02</t>
  </si>
  <si>
    <t>Redemption of 2011 Debt</t>
  </si>
  <si>
    <t>Total 2005/2011 Water/Sewer Bond Redemption</t>
  </si>
  <si>
    <t>2005 Sewer Bond Reserve</t>
  </si>
  <si>
    <t>404-000-000-597-00-00-04</t>
  </si>
  <si>
    <t>Trans TO Water 401-Excess Bal</t>
  </si>
  <si>
    <t>404-000-000-597-00-00-05</t>
  </si>
  <si>
    <t>Trans TO Sewer 402-Excess Bal</t>
  </si>
  <si>
    <t>404-000-000-597-00-00-06</t>
  </si>
  <si>
    <t>Trans TO Storm 407-Excess Bal</t>
  </si>
  <si>
    <t>Total 2005 Sewer Bond Reserve</t>
  </si>
  <si>
    <t xml:space="preserve">Storm &amp; Flood Control </t>
  </si>
  <si>
    <t>          Drainage</t>
  </si>
  <si>
    <t>407-000-002-531-30-10-00</t>
  </si>
  <si>
    <t>407-000-002-531-30-10-02</t>
  </si>
  <si>
    <t>Salaries - Seasonal</t>
  </si>
  <si>
    <t>407-000-002-531-30-10-03</t>
  </si>
  <si>
    <t>Salaries - Technical</t>
  </si>
  <si>
    <t>407-000-002-531-30-10-10</t>
  </si>
  <si>
    <t>407-000-002-531-30-21-01</t>
  </si>
  <si>
    <t>407-000-002-531-30-21-02</t>
  </si>
  <si>
    <t>407-000-002-531-30-21-03</t>
  </si>
  <si>
    <t>407-000-002-531-30-21-04</t>
  </si>
  <si>
    <t>407-000-002-531-30-21-05</t>
  </si>
  <si>
    <t>407-000-002-531-30-21-12</t>
  </si>
  <si>
    <t>407-000-002-531-30-21-13</t>
  </si>
  <si>
    <t>407-000-002-531-30-21-14</t>
  </si>
  <si>
    <t>407-000-002-531-30-22-00</t>
  </si>
  <si>
    <t>Benefits-Boot/Clothing Allowance</t>
  </si>
  <si>
    <t>407-000-002-531-30-22-01</t>
  </si>
  <si>
    <t>407-000-002-531-30-31-01</t>
  </si>
  <si>
    <t>407-000-002-531-30-31-10</t>
  </si>
  <si>
    <t>O &amp; M Supplies 407</t>
  </si>
  <si>
    <t>407-000-002-531-30-31-11</t>
  </si>
  <si>
    <t>O &amp; M Supplies - Pet Waste 407</t>
  </si>
  <si>
    <t>407-000-002-531-30-31-20</t>
  </si>
  <si>
    <t>407-000-002-531-30-35-00</t>
  </si>
  <si>
    <t>407-000-002-531-30-40-00</t>
  </si>
  <si>
    <t>407-000-002-531-30-40-02</t>
  </si>
  <si>
    <t>407-000-002-531-30-40-04</t>
  </si>
  <si>
    <t>Computer Repair &amp; Maintenance Fund 510</t>
  </si>
  <si>
    <t>407-000-002-531-30-41-00</t>
  </si>
  <si>
    <t>Professional Services 407</t>
  </si>
  <si>
    <t>407-000-002-531-30-41-03</t>
  </si>
  <si>
    <t>Professional Services - Included in DOE Grants</t>
  </si>
  <si>
    <t>407-000-002-531-30-41-04</t>
  </si>
  <si>
    <t>Prof Services - Fullfillment</t>
  </si>
  <si>
    <t>407-000-002-531-30-41-05</t>
  </si>
  <si>
    <t>Maint &amp; Repair Projects - Storm 407</t>
  </si>
  <si>
    <t>407-000-002-531-30-41-06</t>
  </si>
  <si>
    <t>Prof Services - Planned Action EIS Stormwater Study 2012</t>
  </si>
  <si>
    <t>407-000-002-531-30-41-08</t>
  </si>
  <si>
    <t>407-000-002-531-30-41-11</t>
  </si>
  <si>
    <t>Maint &amp; Repair - Levy</t>
  </si>
  <si>
    <t>407-000-002-531-30-41-12</t>
  </si>
  <si>
    <t>Maint &amp; Repair - Wetlands Mitigation Monitoring</t>
  </si>
  <si>
    <t>407-000-002-531-30-41-13</t>
  </si>
  <si>
    <t>Wetlands Mitigation Monitoring - Contra Account (See Fund 001)</t>
  </si>
  <si>
    <t>407-000-002-531-30-41-14</t>
  </si>
  <si>
    <t>Prof Services - Storm Comp Plan Updates</t>
  </si>
  <si>
    <t>407-000-002-531-30-42-00</t>
  </si>
  <si>
    <t>407-000-002-531-30-42-01</t>
  </si>
  <si>
    <t>407-000-002-531-30-43-00</t>
  </si>
  <si>
    <t>407-000-002-531-30-44-00</t>
  </si>
  <si>
    <t>407-000-002-531-30-48-02</t>
  </si>
  <si>
    <t>Decant Disposal</t>
  </si>
  <si>
    <t>407-000-002-531-30-48-03</t>
  </si>
  <si>
    <t>Water Quality Monitoring</t>
  </si>
  <si>
    <t>407-000-002-531-30-49-01</t>
  </si>
  <si>
    <t>Misc. - Safety Equipment</t>
  </si>
  <si>
    <t>407-000-002-531-30-49-02</t>
  </si>
  <si>
    <t>Misc. - Training</t>
  </si>
  <si>
    <t>407-000-002-531-30-49-03</t>
  </si>
  <si>
    <t>407-000-002-531-30-49-04</t>
  </si>
  <si>
    <t>Stormwater Permit</t>
  </si>
  <si>
    <t>407-000-002-531-30-49-05</t>
  </si>
  <si>
    <t>407-000-002-531-30-49-06</t>
  </si>
  <si>
    <t>COF Monthly Utility Tax - Storm</t>
  </si>
  <si>
    <t>          Total Drainage</t>
  </si>
  <si>
    <t>407-000-002-591-31-00-00</t>
  </si>
  <si>
    <t>407-000-002-594-31-10-01</t>
  </si>
  <si>
    <t>Ferndale Terrace COF Labor</t>
  </si>
  <si>
    <t>407-000-002-594-31-10-02</t>
  </si>
  <si>
    <t>Thornton Overpass COF Labor</t>
  </si>
  <si>
    <t>407-000-002-594-31-60-00</t>
  </si>
  <si>
    <t>407-000-002-594-31-60-01</t>
  </si>
  <si>
    <t>Decant Construction</t>
  </si>
  <si>
    <t>407-000-002-594-31-60-02</t>
  </si>
  <si>
    <t>Pump Station #8</t>
  </si>
  <si>
    <t>407-000-002-594-31-60-03</t>
  </si>
  <si>
    <t>SW Storm Pond</t>
  </si>
  <si>
    <t>407-000-002-594-31-60-04</t>
  </si>
  <si>
    <t>407-000-002-594-38-63-21</t>
  </si>
  <si>
    <t>Gateway-Main Street South Design/PS&amp;E 407</t>
  </si>
  <si>
    <t>407-000-002-594-38-63-22</t>
  </si>
  <si>
    <t>Gateway-Main Street South CN 407</t>
  </si>
  <si>
    <t>407-000-002-594-38-63-23</t>
  </si>
  <si>
    <t>Gateway Main Steet South CE/CM 407</t>
  </si>
  <si>
    <t>407-000-002-594-38-63-30</t>
  </si>
  <si>
    <t>Gateway North Stormwater Project Design/PS&amp;E</t>
  </si>
  <si>
    <t>407-000-002-594-38-63-34</t>
  </si>
  <si>
    <t>Decant Facility Design</t>
  </si>
  <si>
    <t>407-000-002-594-38-63-36</t>
  </si>
  <si>
    <t>Malloy Culvert Construction</t>
  </si>
  <si>
    <t>407-000-002-595-10-60-00</t>
  </si>
  <si>
    <t>Ferndale Terrace Eng.</t>
  </si>
  <si>
    <t>407-000-002-595-10-60-01</t>
  </si>
  <si>
    <t>Gateway Main Street South Eng.</t>
  </si>
  <si>
    <t>407-000-002-595-10-60-02</t>
  </si>
  <si>
    <t>Gateway North Stormwater Project Eng.</t>
  </si>
  <si>
    <t>407-000-002-595-40-10-01</t>
  </si>
  <si>
    <t>Gateway North Stormwater Project Labor</t>
  </si>
  <si>
    <t>407-000-002-595-40-10-02</t>
  </si>
  <si>
    <t>407-000-002-595-40-10-03</t>
  </si>
  <si>
    <t>Malloy Culvert COF Labor</t>
  </si>
  <si>
    <t>407-000-002-595-40-60-03</t>
  </si>
  <si>
    <t>407-000-002-595-90-60-00</t>
  </si>
  <si>
    <t>407-000-003-597-00-00-05</t>
  </si>
  <si>
    <t>Transfer To 403 Parity Bond Debt Svc</t>
  </si>
  <si>
    <t>407-000-003-597-00-00-10</t>
  </si>
  <si>
    <t>TR to F550 Replace Truck T-9</t>
  </si>
  <si>
    <t>407-000-003-597-00-00-11</t>
  </si>
  <si>
    <t>TR to F550 Replace Truck T-35</t>
  </si>
  <si>
    <t>407-000-003-597-00-00-12</t>
  </si>
  <si>
    <t>407-000-003-597-00-00-13</t>
  </si>
  <si>
    <t>407-000-003-597-00-00-14</t>
  </si>
  <si>
    <t>407-000-003-597-00-00-15</t>
  </si>
  <si>
    <t>407-000-003-597-00-00-16</t>
  </si>
  <si>
    <t>407-000-003-597-00-00-17</t>
  </si>
  <si>
    <t>407-000-003-597-00-00-18</t>
  </si>
  <si>
    <t>407-000-003-597-00-00-19</t>
  </si>
  <si>
    <t>407-000-003-597-00-00-20</t>
  </si>
  <si>
    <t>407-000-003-597-00-86-02</t>
  </si>
  <si>
    <t>Transfer TO 408 Prin Pwtf Stm</t>
  </si>
  <si>
    <t>407-000-003-597-00-86-03</t>
  </si>
  <si>
    <t>Transfer TO 408 Prin Srf Storm</t>
  </si>
  <si>
    <t>407-000-003-597-00-86-05</t>
  </si>
  <si>
    <t>407-000-100-582-10-00-01</t>
  </si>
  <si>
    <t>407-000-100-588-10-00-00</t>
  </si>
  <si>
    <t xml:space="preserve">Total Storm &amp; Flood Control </t>
  </si>
  <si>
    <t>Utility Loan Service</t>
  </si>
  <si>
    <t>408-000-000-591-31-78-04</t>
  </si>
  <si>
    <t>PWTF Storm Loan Principal - 2012</t>
  </si>
  <si>
    <t>408-000-000-591-31-78-05</t>
  </si>
  <si>
    <t>PWTF Storm Loan Principal</t>
  </si>
  <si>
    <t>408-000-000-591-34-71-00</t>
  </si>
  <si>
    <t>Local Bond Water Booster PR</t>
  </si>
  <si>
    <t>408-000-000-591-35-78-04</t>
  </si>
  <si>
    <t>LOCAL Program 2016 Equipment Purchase Prin</t>
  </si>
  <si>
    <t>408-000-000-592-31-80-01</t>
  </si>
  <si>
    <t>PWTF Storm Loan Interest</t>
  </si>
  <si>
    <t>408-000-000-592-31-80-02</t>
  </si>
  <si>
    <t xml:space="preserve">PWTF Storn Loan Interest - 2012 Loan  </t>
  </si>
  <si>
    <t>408-000-000-592-31-80-03</t>
  </si>
  <si>
    <t>LOCAL Program 2016 Equipment Purchase Int</t>
  </si>
  <si>
    <t>408-000-000-592-34-83-00</t>
  </si>
  <si>
    <t>LOCAL Bond Water Booster Int</t>
  </si>
  <si>
    <t>Total Utility Loan Service</t>
  </si>
  <si>
    <t>CCWA Water Conversion Debt Service</t>
  </si>
  <si>
    <t>409-000-000-534-00-40-00</t>
  </si>
  <si>
    <t>CCWA refunds</t>
  </si>
  <si>
    <t>409-000-000-591-34-71-00</t>
  </si>
  <si>
    <t xml:space="preserve">Loan Principal </t>
  </si>
  <si>
    <t>409-000-000-592-34-83-00</t>
  </si>
  <si>
    <t>Loan Interest</t>
  </si>
  <si>
    <t>Total CCWA Water Conversion Debt Service</t>
  </si>
  <si>
    <t>Water Treatment Plant Upgrade (WTP)</t>
  </si>
  <si>
    <t>413-000-005-594-34-60-00</t>
  </si>
  <si>
    <t>WTP Upgrade Construction</t>
  </si>
  <si>
    <t>413-000-005-594-34-60-01</t>
  </si>
  <si>
    <t>WTP Upgrade Design</t>
  </si>
  <si>
    <t>Total Water Treatment Plant Upgrade (WTP)</t>
  </si>
  <si>
    <t xml:space="preserve">Shop Well 2 </t>
  </si>
  <si>
    <t>414-000-005-594-34-60-00</t>
  </si>
  <si>
    <t>Shop Well 2 Wellhouse Construction</t>
  </si>
  <si>
    <t>414-000-005-597-00-00-01</t>
  </si>
  <si>
    <t>TR to F413</t>
  </si>
  <si>
    <t xml:space="preserve">Total Shop Well 2 </t>
  </si>
  <si>
    <t>Waste Water Treatment Plant Construction (WWTP)</t>
  </si>
  <si>
    <t>415-000-005-594-35-60-00</t>
  </si>
  <si>
    <t>WWTP Construction</t>
  </si>
  <si>
    <t>415-000-005-594-35-60-01</t>
  </si>
  <si>
    <t>WWTP Project Design/PS&amp;E</t>
  </si>
  <si>
    <t>415-000-100-591-35-70-00</t>
  </si>
  <si>
    <t>WWTP LOC Principal Payment</t>
  </si>
  <si>
    <t>415-000-100-592-95-80-00</t>
  </si>
  <si>
    <t>Anticipation Note Issuance Costs</t>
  </si>
  <si>
    <t>415-000-100-592-95-80-01</t>
  </si>
  <si>
    <t>Anticipation Note Interest Costs</t>
  </si>
  <si>
    <t>Total Waste Water Treatment Plant Construction (WWTP)</t>
  </si>
  <si>
    <t>        General Government Services</t>
  </si>
  <si>
    <t>510-000-000-518-85-35-00</t>
  </si>
  <si>
    <t>510-000-000-518-85-35-01</t>
  </si>
  <si>
    <t>New S/W &amp; Upgrades (Non-Labor)</t>
  </si>
  <si>
    <t>510-000-000-518-85-42-00</t>
  </si>
  <si>
    <t>Internet &amp; Sat Services</t>
  </si>
  <si>
    <t>510-000-000-518-85-48-00</t>
  </si>
  <si>
    <t>Misc. Repair &amp; Maint.</t>
  </si>
  <si>
    <t>510-000-000-518-85-48-01</t>
  </si>
  <si>
    <t>Repair &amp; Maintenance Contract</t>
  </si>
  <si>
    <t>510-000-000-518-85-48-02</t>
  </si>
  <si>
    <t>Software Maintenance Contracts</t>
  </si>
  <si>
    <t>510-000-000-518-85-48-04</t>
  </si>
  <si>
    <t>Fiber Optic Cable Lease</t>
  </si>
  <si>
    <t>510-000-000-518-85-48-05</t>
  </si>
  <si>
    <t>Utilities-Puget Sound Energy-Offset From Police Bldg (Server Room) 50%</t>
  </si>
  <si>
    <t>        Total General Government Services</t>
  </si>
  <si>
    <t>510-000-000-594-18-60-00</t>
  </si>
  <si>
    <t>Capital - Hardware 510</t>
  </si>
  <si>
    <t>Total Computer Repair &amp; Replacement</t>
  </si>
  <si>
    <t>Equip. Maint. &amp; Replacement</t>
  </si>
  <si>
    <t>550-000-000-518-30-46-00</t>
  </si>
  <si>
    <t>Insurance - 550</t>
  </si>
  <si>
    <t>550-000-000-548-68-10-00</t>
  </si>
  <si>
    <t>550-000-000-548-68-10-01</t>
  </si>
  <si>
    <t>550-000-000-548-68-21-01</t>
  </si>
  <si>
    <t>550-000-000-548-68-21-02</t>
  </si>
  <si>
    <t>550-000-000-548-68-21-03</t>
  </si>
  <si>
    <t>550-000-000-548-68-21-04</t>
  </si>
  <si>
    <t>550-000-000-548-68-21-07</t>
  </si>
  <si>
    <t>550-000-000-548-68-22-00</t>
  </si>
  <si>
    <t>550-000-000-548-68-22-01</t>
  </si>
  <si>
    <t>550-000-000-548-68-31-01</t>
  </si>
  <si>
    <t>550-000-000-548-68-31-02</t>
  </si>
  <si>
    <t>Books &amp; Publications</t>
  </si>
  <si>
    <t>550-000-000-548-68-31-10</t>
  </si>
  <si>
    <t>Operating Supplies-Parts, Etc.</t>
  </si>
  <si>
    <t>550-000-000-548-68-32-00</t>
  </si>
  <si>
    <t>Operating Supplies-Fuel/Oil</t>
  </si>
  <si>
    <t>550-000-000-548-68-35-00</t>
  </si>
  <si>
    <t>550-000-000-548-68-40-01</t>
  </si>
  <si>
    <t>Computer Repair &amp; Replacement Fund 510</t>
  </si>
  <si>
    <t>550-000-000-548-68-42-00</t>
  </si>
  <si>
    <t>550-000-000-548-68-47-01</t>
  </si>
  <si>
    <t>550-000-000-548-68-47-02</t>
  </si>
  <si>
    <t>550-000-000-548-68-47-03</t>
  </si>
  <si>
    <t>550-000-000-548-68-48-00</t>
  </si>
  <si>
    <t>550-000-000-548-68-49-00</t>
  </si>
  <si>
    <t>550-000-000-548-68-49-05</t>
  </si>
  <si>
    <t>          Capital</t>
  </si>
  <si>
    <t>550-000-000-594-21-40-00</t>
  </si>
  <si>
    <t>Vehicle Lease Tax</t>
  </si>
  <si>
    <t>550-000-000-594-21-60-00</t>
  </si>
  <si>
    <t>Body Cameras</t>
  </si>
  <si>
    <t>550-000-000-594-21-64-03</t>
  </si>
  <si>
    <t>Police Vehicles</t>
  </si>
  <si>
    <t>550-000-000-594-21-70-00</t>
  </si>
  <si>
    <t>Police Vehicle Lease- Principal</t>
  </si>
  <si>
    <t>550-000-000-594-21-80-00</t>
  </si>
  <si>
    <t>Police Vehicle Lease-Interest</t>
  </si>
  <si>
    <t>550-000-000-594-38-64-08</t>
  </si>
  <si>
    <t>Replace S-5</t>
  </si>
  <si>
    <t>550-000-000-594-42-60-00</t>
  </si>
  <si>
    <t>Capital Purchase - Streets</t>
  </si>
  <si>
    <t>550-000-000-594-48-64-16</t>
  </si>
  <si>
    <t>Replace Tomahawk Lift</t>
  </si>
  <si>
    <t>550-000-000-594-48-64-17</t>
  </si>
  <si>
    <t>Replace Truck T-5</t>
  </si>
  <si>
    <t>550-000-000-594-48-64-18</t>
  </si>
  <si>
    <t>Replace Dump Truck T-10</t>
  </si>
  <si>
    <t>550-000-000-594-48-64-19</t>
  </si>
  <si>
    <t>Replace Snow Plow T-14</t>
  </si>
  <si>
    <t>550-000-000-594-48-64-20</t>
  </si>
  <si>
    <t>Replace Truck T-3</t>
  </si>
  <si>
    <t>550-000-000-594-48-64-21</t>
  </si>
  <si>
    <t>Replace T-9</t>
  </si>
  <si>
    <t>550-000-000-594-48-64-22</t>
  </si>
  <si>
    <t>Replace Truck T-13</t>
  </si>
  <si>
    <t>550-000-000-594-48-64-23</t>
  </si>
  <si>
    <t>Replace Truck T-18</t>
  </si>
  <si>
    <t>550-000-000-594-48-64-24</t>
  </si>
  <si>
    <t>Replace Truck T-20</t>
  </si>
  <si>
    <t>550-000-000-594-48-64-25</t>
  </si>
  <si>
    <t>Replace Truck T-35</t>
  </si>
  <si>
    <t>550-000-000-594-48-64-26</t>
  </si>
  <si>
    <t>Replace Truck T-48</t>
  </si>
  <si>
    <t>550-000-000-594-48-64-27</t>
  </si>
  <si>
    <t>Replace S-6 Trailer</t>
  </si>
  <si>
    <t>550-000-000-594-48-64-28</t>
  </si>
  <si>
    <t>Replace S-23 Loader</t>
  </si>
  <si>
    <t>550-000-000-594-48-64-29</t>
  </si>
  <si>
    <t>Replace S-61 Brush Attach Skid Steer</t>
  </si>
  <si>
    <t>550-000-000-594-48-64-30</t>
  </si>
  <si>
    <t>Replace Crack Sealer Unit</t>
  </si>
  <si>
    <t>550-000-000-594-48-64-31</t>
  </si>
  <si>
    <t>Ironworker</t>
  </si>
  <si>
    <t>550-000-000-594-48-64-32</t>
  </si>
  <si>
    <t>Replace T-8</t>
  </si>
  <si>
    <t>550-000-000-594-48-64-33</t>
  </si>
  <si>
    <t>Replace T-11</t>
  </si>
  <si>
    <t>550-000-000-594-48-64-34</t>
  </si>
  <si>
    <t>Replace T-31</t>
  </si>
  <si>
    <t>550-000-000-594-48-64-35</t>
  </si>
  <si>
    <t>Replace S-21</t>
  </si>
  <si>
    <t>550-000-000-594-48-64-36</t>
  </si>
  <si>
    <t>Replace S-21A</t>
  </si>
  <si>
    <t>550-000-000-594-58-60-00</t>
  </si>
  <si>
    <t>Replace T-47</t>
  </si>
  <si>
    <t>550-000-000-594-76-60-00</t>
  </si>
  <si>
    <t>Replace Truck T-4</t>
  </si>
  <si>
    <t>550-000-000-594-76-60-01</t>
  </si>
  <si>
    <t>Replace Truck T-23</t>
  </si>
  <si>
    <t>550-000-000-594-76-60-02</t>
  </si>
  <si>
    <t>Replace Tractor S-3</t>
  </si>
  <si>
    <t>550-000-000-594-76-60-03</t>
  </si>
  <si>
    <t>Replace Groomer S-37</t>
  </si>
  <si>
    <t>550-000-000-594-76-60-04</t>
  </si>
  <si>
    <t>Replace Mower S-40</t>
  </si>
  <si>
    <t>550-000-000-594-76-60-05</t>
  </si>
  <si>
    <t>Replace T-22</t>
  </si>
  <si>
    <t>          Total Capital</t>
  </si>
  <si>
    <t>Total Equip. Maint. &amp; Replacement</t>
  </si>
  <si>
    <t>Court Agency</t>
  </si>
  <si>
    <t>650-000-100-586-60-41-01</t>
  </si>
  <si>
    <t>WHATCOM CO PROSECUTOR</t>
  </si>
  <si>
    <t>650-000-100-586-60-41-02</t>
  </si>
  <si>
    <t>WA STATE TREASURER Fund 650</t>
  </si>
  <si>
    <t>650-000-100-589-30-00-00</t>
  </si>
  <si>
    <t>650-000-100-589-30-00-01</t>
  </si>
  <si>
    <t>Department of Licensing</t>
  </si>
  <si>
    <t>650-000-100-589-30-00-02</t>
  </si>
  <si>
    <t>WA State Patrol</t>
  </si>
  <si>
    <t>650-000-100-589-30-00-03</t>
  </si>
  <si>
    <t>DOL Contra Account</t>
  </si>
  <si>
    <t>650-000-100-589-30-00-04</t>
  </si>
  <si>
    <t>WSP Contra Account</t>
  </si>
  <si>
    <t>Total Court Agency</t>
  </si>
  <si>
    <t>Court Activity</t>
  </si>
  <si>
    <t>651-000-000-589-40-00-00</t>
  </si>
  <si>
    <t>Court Activity Exp</t>
  </si>
  <si>
    <t>Total Court Activity</t>
  </si>
  <si>
    <t>2023 Budget Forecast</t>
  </si>
  <si>
    <t>2021 Actuals</t>
  </si>
  <si>
    <t>2022 YTD 6.10.22</t>
  </si>
  <si>
    <t>2022 Budget</t>
  </si>
  <si>
    <t>2023 Forecast</t>
  </si>
  <si>
    <t>Notes</t>
  </si>
  <si>
    <t>Beginning Cash Balance Fund 001</t>
  </si>
  <si>
    <t>      Revenue</t>
  </si>
  <si>
    <t>        Taxes</t>
  </si>
  <si>
    <t>001-000-002-311-10-00-00</t>
  </si>
  <si>
    <t>Property Taxes</t>
  </si>
  <si>
    <t>001-000-002-313-11-00-00</t>
  </si>
  <si>
    <t>Sales &amp; Use Tax</t>
  </si>
  <si>
    <t>001-000-002-313-15-00-00</t>
  </si>
  <si>
    <t>Sales Tax-EMS Public Safety</t>
  </si>
  <si>
    <t>001-000-002-313-61-00-00</t>
  </si>
  <si>
    <t>Brokered Natural Gas Tax</t>
  </si>
  <si>
    <t>001-000-002-316-41-00-00</t>
  </si>
  <si>
    <t>Electric Utility Tax</t>
  </si>
  <si>
    <t>001-000-002-316-43-00-00</t>
  </si>
  <si>
    <t>Gas Utility Tax</t>
  </si>
  <si>
    <t>001-000-002-316-47-00-02</t>
  </si>
  <si>
    <t>Phone/Cell Phone Utility Tax</t>
  </si>
  <si>
    <t>001-000-002-316-49-00-00</t>
  </si>
  <si>
    <t>COF Water/Sewer/Storm Utility Tax - Customer Payments</t>
  </si>
  <si>
    <t>001-000-002-316-49-00-01</t>
  </si>
  <si>
    <t>COF Water/Sewer/Storm Utility Tax - Monthly Payments</t>
  </si>
  <si>
    <t>        Total Taxes</t>
  </si>
  <si>
    <t>      Total Revenue</t>
  </si>
  <si>
    <t>        Licenses and Permits</t>
  </si>
  <si>
    <t>          Business Licenses and Permits</t>
  </si>
  <si>
    <t>001-000-003-321-91-00-02</t>
  </si>
  <si>
    <t>Franchise Fees - COMCAST</t>
  </si>
  <si>
    <t>001-000-003-321-91-00-03</t>
  </si>
  <si>
    <t>Franchise Fees - SSC</t>
  </si>
  <si>
    <t>001-000-003-321-99-00-00</t>
  </si>
  <si>
    <t>General Business Licenses and Permits</t>
  </si>
  <si>
    <t>          Total Business Licenses and Permits</t>
  </si>
  <si>
    <t>          Non-Business Licenses and Permits</t>
  </si>
  <si>
    <t>001-000-003-322-10-00-01</t>
  </si>
  <si>
    <t>New Single Family Residential</t>
  </si>
  <si>
    <t>001-000-003-322-10-00-02</t>
  </si>
  <si>
    <t>Single Family Remodel</t>
  </si>
  <si>
    <t>001-000-003-322-10-00-03</t>
  </si>
  <si>
    <t>Mechanical Permits</t>
  </si>
  <si>
    <t>001-000-003-322-10-00-04</t>
  </si>
  <si>
    <t>Plumbing Permits</t>
  </si>
  <si>
    <t>001-000-003-322-10-00-05</t>
  </si>
  <si>
    <t>Woodstove Permits</t>
  </si>
  <si>
    <t>001-000-003-322-10-00-06</t>
  </si>
  <si>
    <t>New Multi-Fam/duplex Resident.</t>
  </si>
  <si>
    <t>001-000-003-322-10-00-07</t>
  </si>
  <si>
    <t>Sign Permits</t>
  </si>
  <si>
    <t>001-000-003-322-10-00-08</t>
  </si>
  <si>
    <t>Mobile Home Permits</t>
  </si>
  <si>
    <t>001-000-003-322-10-00-09</t>
  </si>
  <si>
    <t>New Commercial Permits</t>
  </si>
  <si>
    <t>001-000-003-322-10-00-10</t>
  </si>
  <si>
    <t>Commercial Remodel</t>
  </si>
  <si>
    <t>001-000-003-322-10-00-11</t>
  </si>
  <si>
    <t>Accessory Buildings Permit</t>
  </si>
  <si>
    <t>001-000-003-322-10-00-13</t>
  </si>
  <si>
    <t>Tank Abandonment/removal Prmit</t>
  </si>
  <si>
    <t>001-000-003-322-10-00-15</t>
  </si>
  <si>
    <t>Other Permits/Miscellaneous</t>
  </si>
  <si>
    <t>001-000-003-322-10-00-16</t>
  </si>
  <si>
    <t>Multi-Family Remodel</t>
  </si>
  <si>
    <t>001-000-003-322-10-00-17</t>
  </si>
  <si>
    <t>Retaining Wall Permit - Residential</t>
  </si>
  <si>
    <t>001-000-003-322-10-00-19</t>
  </si>
  <si>
    <t>Tenant Improvements</t>
  </si>
  <si>
    <t>001-000-003-322-10-00-20</t>
  </si>
  <si>
    <t>Fire Marshall Permit</t>
  </si>
  <si>
    <t>001-000-003-322-10-00-21</t>
  </si>
  <si>
    <t>Retaining Wall Permit - Comm'l</t>
  </si>
  <si>
    <t>001-000-003-322-10-00-22</t>
  </si>
  <si>
    <t>Multifamily Tax Exemption Application Fee</t>
  </si>
  <si>
    <t>001-000-003-322-90-00-00</t>
  </si>
  <si>
    <t>Gun Permits</t>
  </si>
  <si>
    <t>001-000-003-322-90-20-02</t>
  </si>
  <si>
    <t>Shoreline Exemption Permit</t>
  </si>
  <si>
    <t>          Total Non-Business Licenses and Permits</t>
  </si>
  <si>
    <t>        Total Licenses and Permits</t>
  </si>
  <si>
    <t>        Intergovernmental Revenues</t>
  </si>
  <si>
    <t>          Direct Federal Grants</t>
  </si>
  <si>
    <t>001-000-004-331-16-51-00</t>
  </si>
  <si>
    <t>OC Drug Enforcement TF-DOJ</t>
  </si>
  <si>
    <t>001-000-004-331-16-61-00</t>
  </si>
  <si>
    <t>Bulletproof Vest Program-DOJ</t>
  </si>
  <si>
    <t>          Total Direct Federal Grants</t>
  </si>
  <si>
    <t>001-000-004-332-92-10-00</t>
  </si>
  <si>
    <t>ARPA Funds</t>
  </si>
  <si>
    <t>          Indirect Federal Grants</t>
  </si>
  <si>
    <t>001-000-004-333-11-00-00</t>
  </si>
  <si>
    <t>COVID Grant - Dept. of Commerce</t>
  </si>
  <si>
    <t>001-000-004-333-16-50-01</t>
  </si>
  <si>
    <t>Fed Indir. Grant-Dom Violence</t>
  </si>
  <si>
    <t>001-000-004-333-20-20-02</t>
  </si>
  <si>
    <t>Waspc Traffic Safety Grant</t>
  </si>
  <si>
    <t>001-000-004-333-20-20-03</t>
  </si>
  <si>
    <t>Waspc Equipment Grant</t>
  </si>
  <si>
    <t>001-000-004-333-21-00-00</t>
  </si>
  <si>
    <t>CARES Act Grant - AOC</t>
  </si>
  <si>
    <t>001-000-004-333-97-00-00</t>
  </si>
  <si>
    <t>FEMA COVID Grant</t>
  </si>
  <si>
    <t>001-000-004-333-97-00-05</t>
  </si>
  <si>
    <t>DHS-Ind Grant Stonegarden FY12/13/14 CFDA 97.067</t>
  </si>
  <si>
    <t>          Total Indirect Federal Grants</t>
  </si>
  <si>
    <t>          State Grants</t>
  </si>
  <si>
    <t>001-000-004-334-01-20-00</t>
  </si>
  <si>
    <t>State Grant AOC (Courts)</t>
  </si>
  <si>
    <t>001-000-004-334-01-20-01</t>
  </si>
  <si>
    <t>State Grant Office of Public Defense</t>
  </si>
  <si>
    <t>001-000-004-334-03-10-00</t>
  </si>
  <si>
    <t>Planning Grant-DOE Smp Update</t>
  </si>
  <si>
    <t>001-000-004-334-03-52-02</t>
  </si>
  <si>
    <t>001-000-004-334-03-52-03</t>
  </si>
  <si>
    <t>Waspc-Local Block Equip Grant</t>
  </si>
  <si>
    <t>001-000-004-334-03-52-04</t>
  </si>
  <si>
    <t>TR Safety Com-Patrol OT Reimb.</t>
  </si>
  <si>
    <t>001-000-004-334-03-52-07</t>
  </si>
  <si>
    <t>WTSC Target Zero</t>
  </si>
  <si>
    <t>001-000-004-334-03-52-08</t>
  </si>
  <si>
    <t>WTSC Seatbelt Patrol</t>
  </si>
  <si>
    <t>001-000-004-334-03-52-09</t>
  </si>
  <si>
    <t>WTSC Misc Equipment Grants</t>
  </si>
  <si>
    <t>001-000-004-334-04-20-00</t>
  </si>
  <si>
    <t>Star Park Shelter Grant</t>
  </si>
  <si>
    <t>001-000-004-334-04-21-00</t>
  </si>
  <si>
    <t>Planning Grant</t>
  </si>
  <si>
    <t>001-000-004-334-05-80-00</t>
  </si>
  <si>
    <t>WA State Arts Commission Grants</t>
  </si>
  <si>
    <t>001-000-004-334-06-90-05</t>
  </si>
  <si>
    <t>Waspc-Local Block Grant</t>
  </si>
  <si>
    <t>001-000-004-334-06-91-00</t>
  </si>
  <si>
    <t>Waspc-Traffic Safety-Radar</t>
  </si>
  <si>
    <t>001-000-004-334-06-91-01</t>
  </si>
  <si>
    <t>Dept. of Commerce Grant - Pioneer Pathways</t>
  </si>
  <si>
    <t>          Total State Grants</t>
  </si>
  <si>
    <t>001-000-004-335-04-01-00</t>
  </si>
  <si>
    <t>LE &amp; CJ Leg One Time Cost</t>
  </si>
  <si>
    <t>          State Entitlements, Impact Payments and Taxes</t>
  </si>
  <si>
    <t>001-000-004-336-06-41-00</t>
  </si>
  <si>
    <t>Marijuana Enforcement</t>
  </si>
  <si>
    <t>001-000-004-336-06-42-00</t>
  </si>
  <si>
    <t>Marijuana Excise Tax</t>
  </si>
  <si>
    <t>001-000-004-336-06-51-00</t>
  </si>
  <si>
    <t>Dui Fee</t>
  </si>
  <si>
    <t>001-000-004-336-06-94-00</t>
  </si>
  <si>
    <t>Liquor Excise Tax</t>
  </si>
  <si>
    <t>001-000-004-336-06-95-00</t>
  </si>
  <si>
    <t>Liquor Profits</t>
  </si>
  <si>
    <t>          Total State Entitlements, Impact Payments and Taxes</t>
  </si>
  <si>
    <t>001-000-004-337-07-00-02</t>
  </si>
  <si>
    <t>Port of Bellingham Grant</t>
  </si>
  <si>
    <t>        Total Intergovernmental Revenues</t>
  </si>
  <si>
    <t>        Miscellaneous Revenues</t>
  </si>
  <si>
    <t>          Interest and Other Earnings</t>
  </si>
  <si>
    <t>001-000-004-361-40-00-00</t>
  </si>
  <si>
    <t>Sales Tax Interest</t>
  </si>
  <si>
    <t>          Total Interest and Other Earnings</t>
  </si>
  <si>
    <t>        Total Miscellaneous Revenues</t>
  </si>
  <si>
    <t>001-000-005-341-30-00-00</t>
  </si>
  <si>
    <t>Charges For Police Reports</t>
  </si>
  <si>
    <t>001-000-005-341-32-02-00</t>
  </si>
  <si>
    <t>D/M Crt Rec Ser</t>
  </si>
  <si>
    <t>001-000-005-341-32-03-00</t>
  </si>
  <si>
    <t>Civil Fee - App</t>
  </si>
  <si>
    <t>001-000-005-341-32-04-00</t>
  </si>
  <si>
    <t>Warrant Fees</t>
  </si>
  <si>
    <t>001-000-005-341-33-02-00</t>
  </si>
  <si>
    <t>Warrant Costs</t>
  </si>
  <si>
    <t>001-000-005-341-33-03-00</t>
  </si>
  <si>
    <t>Deferred Prosecution Admin Fees</t>
  </si>
  <si>
    <t>001-000-005-341-33-06-00</t>
  </si>
  <si>
    <t>IT Time Pay Fee</t>
  </si>
  <si>
    <t>001-000-005-341-35-00-00</t>
  </si>
  <si>
    <t>Other Cert/CC Fees</t>
  </si>
  <si>
    <t>001-000-005-341-43-00-00</t>
  </si>
  <si>
    <t>Nsf Check Fees</t>
  </si>
  <si>
    <t>001-000-005-341-43-00-01</t>
  </si>
  <si>
    <t>Charges for Central Services</t>
  </si>
  <si>
    <t>001-000-005-341-50-00-00</t>
  </si>
  <si>
    <t>Sale of Maps</t>
  </si>
  <si>
    <t>001-000-005-341-50-00-01</t>
  </si>
  <si>
    <t>Ordinances, Publications, Public Records Request Charges</t>
  </si>
  <si>
    <t>001-000-005-341-50-00-02</t>
  </si>
  <si>
    <t>Plans &amp; Specs</t>
  </si>
  <si>
    <t>001-000-005-341-62-00-00</t>
  </si>
  <si>
    <t>Court Copy/tape Fees</t>
  </si>
  <si>
    <t>001-000-005-341-81-00-00</t>
  </si>
  <si>
    <t>Planning/building Copies</t>
  </si>
  <si>
    <t>001-000-005-341-81-00-01</t>
  </si>
  <si>
    <t>Photocopies</t>
  </si>
  <si>
    <t>001-000-005-341-91-00-00</t>
  </si>
  <si>
    <t>Election Candidate Filing Fees</t>
  </si>
  <si>
    <t>001-000-005-342-10-00-00</t>
  </si>
  <si>
    <t>Charges For Fingerprints</t>
  </si>
  <si>
    <t>001-000-005-342-10-00-02</t>
  </si>
  <si>
    <t>School S R O</t>
  </si>
  <si>
    <t>001-000-005-342-10-00-03</t>
  </si>
  <si>
    <t>Criminal Transport Costs</t>
  </si>
  <si>
    <t>001-000-005-342-10-11-14</t>
  </si>
  <si>
    <t>DNA Collector Fee</t>
  </si>
  <si>
    <t>001-000-005-342-33-00-00</t>
  </si>
  <si>
    <t>Adult Probation Fees</t>
  </si>
  <si>
    <t>001-000-005-342-33-12-00</t>
  </si>
  <si>
    <t>Work Crew Fee</t>
  </si>
  <si>
    <t>001-000-005-342-36-00-00</t>
  </si>
  <si>
    <t>Housing Prisoners</t>
  </si>
  <si>
    <t>001-000-005-342-36-01-00</t>
  </si>
  <si>
    <t>Electronic Monitor</t>
  </si>
  <si>
    <t>001-000-005-342-36-03-00</t>
  </si>
  <si>
    <t>Elect. Monitor-DUI</t>
  </si>
  <si>
    <t>001-000-005-342-37-00-00</t>
  </si>
  <si>
    <t>Booking Fees</t>
  </si>
  <si>
    <t>001-000-005-342-38-01-00</t>
  </si>
  <si>
    <t>Pretrial Sup-CLJ</t>
  </si>
  <si>
    <t>001-000-005-342-40-00-00</t>
  </si>
  <si>
    <t>Building Inspections</t>
  </si>
  <si>
    <t>001-000-005-342-90-02-00</t>
  </si>
  <si>
    <t>Criminal Conviction Fees CT</t>
  </si>
  <si>
    <t>001-000-005-345-81-00-00</t>
  </si>
  <si>
    <t>Zoning &amp; Subdivision</t>
  </si>
  <si>
    <t>001-000-005-345-81-00-01</t>
  </si>
  <si>
    <t>Annexation Fees</t>
  </si>
  <si>
    <t>001-000-005-345-81-00-02</t>
  </si>
  <si>
    <t>Short Plat Fees</t>
  </si>
  <si>
    <t>001-000-005-345-81-00-04</t>
  </si>
  <si>
    <t>Conditional Use Permits</t>
  </si>
  <si>
    <t>001-000-005-345-81-00-05</t>
  </si>
  <si>
    <t>Variance Applications &amp; Adjustments</t>
  </si>
  <si>
    <t>001-000-005-345-81-00-06</t>
  </si>
  <si>
    <t>Lot Line Adjustments</t>
  </si>
  <si>
    <t>001-000-005-345-81-00-07</t>
  </si>
  <si>
    <t>Land Disturbance (f&amp;gr) Permit</t>
  </si>
  <si>
    <t>001-000-005-345-81-00-09</t>
  </si>
  <si>
    <t>Site Plan Review</t>
  </si>
  <si>
    <t>001-000-005-345-81-00-10</t>
  </si>
  <si>
    <t>Plat Variances</t>
  </si>
  <si>
    <t>001-000-005-345-81-00-11</t>
  </si>
  <si>
    <t>Development Review</t>
  </si>
  <si>
    <t>001-000-005-345-81-00-13</t>
  </si>
  <si>
    <t>Binding Site Plan</t>
  </si>
  <si>
    <t>001-000-005-345-81-00-14</t>
  </si>
  <si>
    <t>Comp Plan Amendment</t>
  </si>
  <si>
    <t>001-000-005-345-81-00-15</t>
  </si>
  <si>
    <t>Final Plat</t>
  </si>
  <si>
    <t>001-000-005-345-81-00-18</t>
  </si>
  <si>
    <t>Planned Unit Development</t>
  </si>
  <si>
    <t>001-000-005-345-81-00-20</t>
  </si>
  <si>
    <t>Short Plat Variance</t>
  </si>
  <si>
    <t>001-000-005-345-81-00-21</t>
  </si>
  <si>
    <t>Variance-Zoning (boa)</t>
  </si>
  <si>
    <t>001-000-005-345-81-00-22</t>
  </si>
  <si>
    <t>Rezone/Zone Change/Zone Text Amendment</t>
  </si>
  <si>
    <t>001-000-005-345-81-00-23</t>
  </si>
  <si>
    <t>Hearing Examiner Fees</t>
  </si>
  <si>
    <t>001-000-005-345-81-00-25</t>
  </si>
  <si>
    <t>Development Admin &amp; Insp Fees</t>
  </si>
  <si>
    <t>001-000-005-345-81-00-28</t>
  </si>
  <si>
    <t>Petition To Annex Fees</t>
  </si>
  <si>
    <t>001-000-005-345-81-00-29</t>
  </si>
  <si>
    <t>Planning Sign Review</t>
  </si>
  <si>
    <t>001-000-005-345-83-00-00</t>
  </si>
  <si>
    <t>Building Plan Check Fees</t>
  </si>
  <si>
    <t>001-000-005-345-83-00-01</t>
  </si>
  <si>
    <t>Technical Review Comm Fees</t>
  </si>
  <si>
    <t>001-000-005-345-83-00-02</t>
  </si>
  <si>
    <t>Sign Plan Check Fees</t>
  </si>
  <si>
    <t>001-000-005-345-83-00-03</t>
  </si>
  <si>
    <t>SEPA Checklist</t>
  </si>
  <si>
    <t>001-000-005-345-83-00-04</t>
  </si>
  <si>
    <t>Building Plan Check Fees - Refunds</t>
  </si>
  <si>
    <t>001-000-005-345-89-00-00</t>
  </si>
  <si>
    <t>Planning Misc</t>
  </si>
  <si>
    <t>001-000-005-345-90-00-00</t>
  </si>
  <si>
    <t>Appeals</t>
  </si>
  <si>
    <t>001-000-005-346-90-00-00</t>
  </si>
  <si>
    <t>Miscellaneous Fees &amp; Charges</t>
  </si>
  <si>
    <t>001-000-005-346-90-00-03</t>
  </si>
  <si>
    <t>Planning Archive Fees</t>
  </si>
  <si>
    <t>001-000-005-347-30-00-01</t>
  </si>
  <si>
    <t>Athletic Fields/Concession Fees</t>
  </si>
  <si>
    <t>001-000-005-347-50-00-00</t>
  </si>
  <si>
    <t>Pioneer Park Fees</t>
  </si>
  <si>
    <t>001-000-005-349-18-00-00</t>
  </si>
  <si>
    <t>Charges For Central Services</t>
  </si>
  <si>
    <t>001-000-005-349-18-00-01</t>
  </si>
  <si>
    <t>Charges for Central Svcs - Elected Officials</t>
  </si>
  <si>
    <t>001-000-005-362-40-00-00</t>
  </si>
  <si>
    <t>Athletic Fields Fees</t>
  </si>
  <si>
    <t>001-000-005-362-40-00-01</t>
  </si>
  <si>
    <t>Park/facility Rental Fees</t>
  </si>
  <si>
    <t>001-000-005-362-80-00-00</t>
  </si>
  <si>
    <t>Concession Deposits</t>
  </si>
  <si>
    <t>001-000-005-369-40-00-01</t>
  </si>
  <si>
    <t>Fines Assessed By Ordinance/Hearings Examiner</t>
  </si>
  <si>
    <t>      Revenue - Fines and Penalties</t>
  </si>
  <si>
    <t>001-000-006-352-30-00-00</t>
  </si>
  <si>
    <t>Mandatory Insurance Costs</t>
  </si>
  <si>
    <t>001-000-006-352-90-03-00</t>
  </si>
  <si>
    <t>Other Civil Penalty</t>
  </si>
  <si>
    <t>001-000-006-353-10-02-00</t>
  </si>
  <si>
    <t>Traffic Infractions to 04/07</t>
  </si>
  <si>
    <t>001-000-006-353-10-03-00</t>
  </si>
  <si>
    <t>Traffic Infractions</t>
  </si>
  <si>
    <t>001-000-006-353-10-04-00</t>
  </si>
  <si>
    <t>LEGIS ASSMT</t>
  </si>
  <si>
    <t>001-000-006-353-10-05-00</t>
  </si>
  <si>
    <t>Traffic Infract</t>
  </si>
  <si>
    <t>001-000-006-353-10-20-00</t>
  </si>
  <si>
    <t>Dist. Driv Prev</t>
  </si>
  <si>
    <t>001-000-006-353-10-33-00</t>
  </si>
  <si>
    <t>Fail Init Reg Veh</t>
  </si>
  <si>
    <t>001-000-006-353-10-43-00</t>
  </si>
  <si>
    <t>Spddb116-20&lt;=40</t>
  </si>
  <si>
    <t>001-000-006-353-10-80-00</t>
  </si>
  <si>
    <t>Def Find Adm</t>
  </si>
  <si>
    <t>001-000-006-353-70-02-00</t>
  </si>
  <si>
    <t>Other Infractions</t>
  </si>
  <si>
    <t>001-000-006-353-70-04-00</t>
  </si>
  <si>
    <t>001-000-006-353-70-13-00</t>
  </si>
  <si>
    <t>Other Infract</t>
  </si>
  <si>
    <t>001-000-006-354-00-00-00</t>
  </si>
  <si>
    <t>Civil Parking Infraction Penal</t>
  </si>
  <si>
    <t>001-000-006-354-00-00-07</t>
  </si>
  <si>
    <t>Park/In Disabled Zone</t>
  </si>
  <si>
    <t>001-000-006-355-20-00-00</t>
  </si>
  <si>
    <t>DWI</t>
  </si>
  <si>
    <t>001-000-006-355-20-03-00</t>
  </si>
  <si>
    <t>Cri Cnv Fee DUI</t>
  </si>
  <si>
    <t>001-000-006-355-20-04-00</t>
  </si>
  <si>
    <t>DUI - DP Acct.</t>
  </si>
  <si>
    <t>001-000-006-355-80-01-00</t>
  </si>
  <si>
    <t>Crim Traffic-Misd</t>
  </si>
  <si>
    <t>001-000-006-355-80-02-00</t>
  </si>
  <si>
    <t>CRI CONV FE CT</t>
  </si>
  <si>
    <t>001-000-006-356-90-00-00</t>
  </si>
  <si>
    <t>Other CN to 07/03</t>
  </si>
  <si>
    <t>001-000-006-356-90-04-00</t>
  </si>
  <si>
    <t>Other Non-Traffic</t>
  </si>
  <si>
    <t>001-000-006-356-90-08-01</t>
  </si>
  <si>
    <t>DV Penalty Asses</t>
  </si>
  <si>
    <t>001-000-006-356-90-14-00</t>
  </si>
  <si>
    <t>CR CONV FEE CN</t>
  </si>
  <si>
    <t>001-000-006-356-91-01-00</t>
  </si>
  <si>
    <t>City Dog Violation</t>
  </si>
  <si>
    <t>001-000-006-357-30-00-00</t>
  </si>
  <si>
    <t>Court Costs Recoup</t>
  </si>
  <si>
    <t>001-000-006-357-33-00-00</t>
  </si>
  <si>
    <t>Public Defender Fees</t>
  </si>
  <si>
    <t>001-000-006-357-36-00-00</t>
  </si>
  <si>
    <t>Court CC Fees</t>
  </si>
  <si>
    <t>001-000-006-357-37-01-10</t>
  </si>
  <si>
    <t>Crt Cost Recoup</t>
  </si>
  <si>
    <t>001-000-006-357-37-01-11</t>
  </si>
  <si>
    <t>DUI - DP ACCT</t>
  </si>
  <si>
    <t>001-000-006-357-37-01-12</t>
  </si>
  <si>
    <t>Jis/trauma</t>
  </si>
  <si>
    <t>001-000-006-357-37-01-13</t>
  </si>
  <si>
    <t>JIS/Trauma 01-2011</t>
  </si>
  <si>
    <t>001-000-006-357-37-01-14</t>
  </si>
  <si>
    <t>JIS/Trauma 2015</t>
  </si>
  <si>
    <t>001-000-006-357-37-01-15</t>
  </si>
  <si>
    <t>JISTRAUMNOLEGIS</t>
  </si>
  <si>
    <t>001-000-006-357-37-01-17</t>
  </si>
  <si>
    <t>Local/JIS Accnt</t>
  </si>
  <si>
    <t>001-000-006-357-37-01-18</t>
  </si>
  <si>
    <t>SCH Safety SPD</t>
  </si>
  <si>
    <t>001-000-006-357-37-01-19</t>
  </si>
  <si>
    <t>SCH Safety Bus</t>
  </si>
  <si>
    <t>001-000-006-357-37-01-20</t>
  </si>
  <si>
    <t>State Fee</t>
  </si>
  <si>
    <t>001-000-006-357-37-01-21</t>
  </si>
  <si>
    <t>IT MC Safety</t>
  </si>
  <si>
    <t>001-000-006-359-90-00-00</t>
  </si>
  <si>
    <t>False Alarm Fees</t>
  </si>
  <si>
    <t>001-000-006-359-90-00-01</t>
  </si>
  <si>
    <t>Restitution</t>
  </si>
  <si>
    <t>      Miscellaneous Revenues</t>
  </si>
  <si>
    <t>001-000-007-343-20-00-00</t>
  </si>
  <si>
    <t>PEG Channel Fees</t>
  </si>
  <si>
    <t>001-000-007-347-90-00-00</t>
  </si>
  <si>
    <t>Exhibit Fees</t>
  </si>
  <si>
    <t>001-000-007-361-10-00-10</t>
  </si>
  <si>
    <t>Interfund Loan Interest From 309</t>
  </si>
  <si>
    <t>001-000-007-361-10-00-11</t>
  </si>
  <si>
    <t>Interfund Loan Interst From 550</t>
  </si>
  <si>
    <t>001-000-007-361-11-00-00</t>
  </si>
  <si>
    <t>Investment Interest</t>
  </si>
  <si>
    <t>001-000-007-361-19-00-00</t>
  </si>
  <si>
    <t>Bank Charges - Court</t>
  </si>
  <si>
    <t>001-000-007-361-40-01-00</t>
  </si>
  <si>
    <t>Interest From Muni Court</t>
  </si>
  <si>
    <t>001-000-007-361-40-03-00</t>
  </si>
  <si>
    <t>001-000-007-362-50-00-05</t>
  </si>
  <si>
    <t>Land Lease-First Federal</t>
  </si>
  <si>
    <t>001-000-007-362-90-00-00</t>
  </si>
  <si>
    <t>Other Rents</t>
  </si>
  <si>
    <t>001-000-007-367-11-00-08</t>
  </si>
  <si>
    <t>AWC Grants</t>
  </si>
  <si>
    <t>001-000-007-367-11-00-10</t>
  </si>
  <si>
    <t>WCIA Grants</t>
  </si>
  <si>
    <t>001-000-007-367-19-00-01</t>
  </si>
  <si>
    <t>Donations For Parks Dept.</t>
  </si>
  <si>
    <t>001-000-007-367-19-00-03</t>
  </si>
  <si>
    <t>Donations - Other</t>
  </si>
  <si>
    <t>001-000-007-367-19-00-04</t>
  </si>
  <si>
    <t>LUMMI BASIC BUS FEE (PROP TAX)</t>
  </si>
  <si>
    <t>001-000-007-367-19-00-05</t>
  </si>
  <si>
    <t>LUMMI FEE (SALES TAX)</t>
  </si>
  <si>
    <t>001-000-007-367-19-00-06</t>
  </si>
  <si>
    <t>DONATIONS - "Chief for a Day"</t>
  </si>
  <si>
    <t>001-000-007-367-19-00-07</t>
  </si>
  <si>
    <t>Donations/Cost Share DV Consultant</t>
  </si>
  <si>
    <t>001-000-007-367-19-00-09</t>
  </si>
  <si>
    <t>Donations - FAC + Art In The Park</t>
  </si>
  <si>
    <t>001-000-007-367-19-00-11</t>
  </si>
  <si>
    <t>Donation From Chelsey Rae Ebert 2016 - Police Chief for a Day Program/Honerary Police Officer Program</t>
  </si>
  <si>
    <t>001-000-007-369-10-00-00</t>
  </si>
  <si>
    <t>Sale of Scrap And Junk</t>
  </si>
  <si>
    <t>001-000-007-369-10-00-01</t>
  </si>
  <si>
    <t>Surplus Sales Proceeds</t>
  </si>
  <si>
    <t>001-000-007-369-20-00-00</t>
  </si>
  <si>
    <t>Police Evidence Money-Unclaimed Property RCW 63.32.030</t>
  </si>
  <si>
    <t>001-000-007-369-20-00-01</t>
  </si>
  <si>
    <t>Police Unclaimed Property</t>
  </si>
  <si>
    <t>001-000-007-369-20-00-02</t>
  </si>
  <si>
    <t>Court Unclaimed Property</t>
  </si>
  <si>
    <t>001-000-007-369-30-00-00</t>
  </si>
  <si>
    <t>Police Evidence Money-Drug Seizure RCW 69.50.505</t>
  </si>
  <si>
    <t>001-000-007-369-40-00-00</t>
  </si>
  <si>
    <t>Judgments and Settlements</t>
  </si>
  <si>
    <t>001-000-007-369-81-00-00</t>
  </si>
  <si>
    <t>Overage/Shortage</t>
  </si>
  <si>
    <t>001-000-007-369-90-03-00</t>
  </si>
  <si>
    <t>NSF Charge (Court)</t>
  </si>
  <si>
    <t>001-000-007-369-91-00-00</t>
  </si>
  <si>
    <t>Other Miscellaneous</t>
  </si>
  <si>
    <t>001-000-007-369-91-00-03</t>
  </si>
  <si>
    <t>L&amp;I Buy Back</t>
  </si>
  <si>
    <t>001-000-007-369-91-00-04</t>
  </si>
  <si>
    <t>001-000-007-369-91-00-05</t>
  </si>
  <si>
    <t>Jury Time Buy Back</t>
  </si>
  <si>
    <t>001-000-007-369-91-00-07</t>
  </si>
  <si>
    <t>Payments For Police O.T. - Special Events</t>
  </si>
  <si>
    <t>001-000-007-369-91-00-10</t>
  </si>
  <si>
    <t>Police Evidence Money-Any Felony Not Drug Related RCW 10.105.010</t>
  </si>
  <si>
    <t>001-000-007-369-91-00-21</t>
  </si>
  <si>
    <t>Deposits - City Key Fobs</t>
  </si>
  <si>
    <t>001-000-007-369-91-00-36</t>
  </si>
  <si>
    <t>Deposits-Tenant Improvements</t>
  </si>
  <si>
    <t>001-000-007-369-91-00-37</t>
  </si>
  <si>
    <t>Deposits-Other</t>
  </si>
  <si>
    <t>001-000-007-369-91-00-39</t>
  </si>
  <si>
    <t>Deposits-Sign</t>
  </si>
  <si>
    <t>001-000-007-369-91-00-40</t>
  </si>
  <si>
    <t>Deposits-Assignment of Funds In Lieu Of Maintenance Bond - Sampson Rope 2014</t>
  </si>
  <si>
    <t>001-000-007-369-91-00-44</t>
  </si>
  <si>
    <t>DEP ANNEXATION FEES</t>
  </si>
  <si>
    <t>001-000-007-369-91-00-45</t>
  </si>
  <si>
    <t>DEP APPEALS</t>
  </si>
  <si>
    <t>001-000-007-369-91-00-46</t>
  </si>
  <si>
    <t>DEP BINDING SITE PLAN</t>
  </si>
  <si>
    <t>001-000-007-369-91-00-47</t>
  </si>
  <si>
    <t>DEP CONDITIONAL USE PERMITS</t>
  </si>
  <si>
    <t>001-000-007-369-91-00-48</t>
  </si>
  <si>
    <t>DEP SEPA APPEALS</t>
  </si>
  <si>
    <t>001-000-007-369-91-00-49</t>
  </si>
  <si>
    <t>DEP HEARINGS EXAMINER</t>
  </si>
  <si>
    <t>001-000-007-369-91-00-51</t>
  </si>
  <si>
    <t>DEP PLANNED UNIT DEVELOPMENT</t>
  </si>
  <si>
    <t>001-000-007-369-91-00-52</t>
  </si>
  <si>
    <t>DEP SHORELINE CONDITIONAL USE</t>
  </si>
  <si>
    <t>001-000-007-369-91-00-53</t>
  </si>
  <si>
    <t>DEP SUBDIV PRELIM PLAT AMEND</t>
  </si>
  <si>
    <t>001-000-007-369-91-00-54</t>
  </si>
  <si>
    <t>ADMIN FEES - EDI AGREEMENT WITH WC</t>
  </si>
  <si>
    <t>001-000-007-369-91-00-56</t>
  </si>
  <si>
    <t>Reimbursements from AWC - Wellness Mini-Grants/Training/Other</t>
  </si>
  <si>
    <t>001-000-007-369-91-00-57</t>
  </si>
  <si>
    <t>Whatcom Com. Foundation Grant</t>
  </si>
  <si>
    <t>001-000-007-369-91-01-00</t>
  </si>
  <si>
    <t>Overpayment (Court)</t>
  </si>
  <si>
    <t>001-000-007-369-91-03-00</t>
  </si>
  <si>
    <t>NSF Revenues</t>
  </si>
  <si>
    <t>001-000-007-369-91-04-00</t>
  </si>
  <si>
    <t>001-000-007-395-10-00-00</t>
  </si>
  <si>
    <t>Kope Rd Proceeds</t>
  </si>
  <si>
    <t>001-000-007-398-10-00-01</t>
  </si>
  <si>
    <t>Insurance Recoveries - Non Capital Asset</t>
  </si>
  <si>
    <t>      Total Miscellaneous Revenues</t>
  </si>
  <si>
    <t>001-000-008-397-00-00-00</t>
  </si>
  <si>
    <t>Trans From Local CR Just 107</t>
  </si>
  <si>
    <t>001-000-008-397-00-00-04</t>
  </si>
  <si>
    <t>Trans-Comp Plan-FM Solid Waste Tax 005</t>
  </si>
  <si>
    <t>001-000-008-397-00-00-11</t>
  </si>
  <si>
    <t>Transfer From Solid WasteTax 005</t>
  </si>
  <si>
    <t>001-000-008-397-00-00-19</t>
  </si>
  <si>
    <t>Trans From Facil Cap Reserve</t>
  </si>
  <si>
    <t>001-000-008-397-00-00-21</t>
  </si>
  <si>
    <t>Trans FR Hotel Motel 198</t>
  </si>
  <si>
    <t>001-000-008-397-00-00-28</t>
  </si>
  <si>
    <t>TR FR Park Mitigation 102</t>
  </si>
  <si>
    <t>001-000-008-397-00-00-31</t>
  </si>
  <si>
    <t>TR FR Criminal Justice 106</t>
  </si>
  <si>
    <t>001-000-008-397-00-00-40</t>
  </si>
  <si>
    <t>Transfer In From REET2 302</t>
  </si>
  <si>
    <t>001-000-008-397-00-00-41</t>
  </si>
  <si>
    <t>Transfer In From REET1 301</t>
  </si>
  <si>
    <t>001-000-008-397-00-00-42</t>
  </si>
  <si>
    <t>TR from Star Park Const  F309</t>
  </si>
  <si>
    <t>          Interfund Loan Receipts</t>
  </si>
  <si>
    <t>001-000-100-381-20-00-08</t>
  </si>
  <si>
    <t>Interfund Loan Repayment from 550</t>
  </si>
  <si>
    <t>001-000-100-381-20-00-09</t>
  </si>
  <si>
    <t>Interfund Loan Repayment from 309</t>
  </si>
  <si>
    <t>          Total Interfund Loan Receipts</t>
  </si>
  <si>
    <t>001-000-100-382-10-00-01</t>
  </si>
  <si>
    <t>Refundable Deposits</t>
  </si>
  <si>
    <t>001-000-100-382-20-00-00</t>
  </si>
  <si>
    <t>Retainage</t>
  </si>
  <si>
    <t>001-000-100-388-10-00-00</t>
  </si>
  <si>
    <t>      Charges for Goods and Services</t>
  </si>
  <si>
    <t>      Total Charges for Goods and Services</t>
  </si>
  <si>
    <t>      Total Fines and Penalties</t>
  </si>
  <si>
    <t>      Transfers</t>
  </si>
  <si>
    <t>      Total Transfers</t>
  </si>
  <si>
    <t>Expenditure</t>
  </si>
  <si>
    <t>      Total Police</t>
  </si>
  <si>
    <t>Ending Cash Balance Fund 001</t>
  </si>
  <si>
    <t>Beginning Cash Balance Fund 002</t>
  </si>
  <si>
    <t>002-000-000-361-11-00-00</t>
  </si>
  <si>
    <t>        Other Financing Sources</t>
  </si>
  <si>
    <t>002-000-000-397-00-00-01</t>
  </si>
  <si>
    <t>Transfer IN From Cur Exp 001</t>
  </si>
  <si>
    <t>        Total Other Financing Sources</t>
  </si>
  <si>
    <t>Ending Cash Balance Fund 002</t>
  </si>
  <si>
    <t>Beginning Cash Balance Fund 003</t>
  </si>
  <si>
    <t>003-000-000-361-11-00-00</t>
  </si>
  <si>
    <t>003-000-000-397-00-00-00</t>
  </si>
  <si>
    <t>Trans IN From Solid Waste 005</t>
  </si>
  <si>
    <t>003-000-000-397-00-00-01</t>
  </si>
  <si>
    <t>Ending Cash Balance Fund 003</t>
  </si>
  <si>
    <t>            Total Investment Interest</t>
  </si>
  <si>
    <t>004-000-000-361-11-00-00</t>
  </si>
  <si>
    <t>004-000-000-397-00-00-00</t>
  </si>
  <si>
    <t>Trans In From Solid Waste Tax</t>
  </si>
  <si>
    <t>004-000-000-397-00-00-01</t>
  </si>
  <si>
    <t>Beginning Cash Balance Fund 004</t>
  </si>
  <si>
    <t>            Investment Interest</t>
  </si>
  <si>
    <t>Ending Cash Balance Fund 004</t>
  </si>
  <si>
    <t>Beginning Cash Balance Fund 005</t>
  </si>
  <si>
    <t>          Business and Occupation Taxes</t>
  </si>
  <si>
    <t>005-000-000-316-45-00-01</t>
  </si>
  <si>
    <t>Recyclables Tax (3% 5/08)</t>
  </si>
  <si>
    <t>005-000-000-316-45-00-02</t>
  </si>
  <si>
    <t>Solid Waste Tax</t>
  </si>
  <si>
    <t>          Total Business and Occupation Taxes</t>
  </si>
  <si>
    <t>005-000-000-361-11-00-00</t>
  </si>
  <si>
    <t>            Total Total Investment Interest</t>
  </si>
  <si>
    <t>          Other Miscellaneous Revenues</t>
  </si>
  <si>
    <t>            Other</t>
  </si>
  <si>
    <t>005-000-000-369-90-00-01</t>
  </si>
  <si>
    <t>Late Fees</t>
  </si>
  <si>
    <t>          Total Other Miscellaneous Revenues</t>
  </si>
  <si>
    <t>005-000-000-397-00-00-02</t>
  </si>
  <si>
    <t>TR From 215 - Residual</t>
  </si>
  <si>
    <t>005-000-000-397-00-00-03</t>
  </si>
  <si>
    <t>Transfer IN from Thornton F370</t>
  </si>
  <si>
    <t>Ending Cash Balance Fund 005</t>
  </si>
  <si>
    <t>Beginning Cash Balance Fund 007</t>
  </si>
  <si>
    <t>007-000-000-362-40-00-00</t>
  </si>
  <si>
    <t>Facility Rental Fees</t>
  </si>
  <si>
    <t>007-000-000-362-40-00-01</t>
  </si>
  <si>
    <t>Chamber of Commerce Monthly Rent</t>
  </si>
  <si>
    <t>007-000-000-369-81-00-00</t>
  </si>
  <si>
    <t>Cash Adjustments</t>
  </si>
  <si>
    <t>007-000-000-397-00-00-00</t>
  </si>
  <si>
    <t>TR IN From Cur. Exp. Fund 001</t>
  </si>
  <si>
    <t>007-000-000-397-00-00-01</t>
  </si>
  <si>
    <t>TR IN From Solid Waste Tax 005</t>
  </si>
  <si>
    <t>007-000-000-397-00-00-02</t>
  </si>
  <si>
    <t>TR IN From Park Mitigation 007</t>
  </si>
  <si>
    <t>007-000-001-382-10-00-01</t>
  </si>
  <si>
    <t>Ending Cash Balance Fund 007</t>
  </si>
  <si>
    <t>Beginning Cash Balance Fund 101</t>
  </si>
  <si>
    <t>101-000-000-333-11-00-00</t>
  </si>
  <si>
    <t>CARES Act Grant - Dept. of Commerce</t>
  </si>
  <si>
    <t>                Federal Grant</t>
  </si>
  <si>
    <t>101-000-000-333-20-20-02</t>
  </si>
  <si>
    <t>WCOG Fed Grant (Malloy to Vista)</t>
  </si>
  <si>
    <t>                Total Federal Grant</t>
  </si>
  <si>
    <t>101-000-000-333-97-00-00</t>
  </si>
  <si>
    <t>101-000-000-334-01-80-00</t>
  </si>
  <si>
    <t>Washington State Military Dept.</t>
  </si>
  <si>
    <t>101-000-000-334-03-60-01</t>
  </si>
  <si>
    <t>WA DOT Grant - Safe Routes to School - WA Street Vista to Third</t>
  </si>
  <si>
    <t>101-000-000-334-03-60-02</t>
  </si>
  <si>
    <t>WA DOT Grant - Thornton</t>
  </si>
  <si>
    <t>101-000-000-334-03-80-03</t>
  </si>
  <si>
    <t>TIB Grants - WA Street Vista to Third</t>
  </si>
  <si>
    <t>101-000-000-334-03-80-04</t>
  </si>
  <si>
    <t>TIB Grants - WA Street Main to Vista</t>
  </si>
  <si>
    <t>101-000-000-334-03-80-05</t>
  </si>
  <si>
    <t>TIB Grants - Portal Way Pavement Overlay</t>
  </si>
  <si>
    <t>101-000-000-334-03-80-06</t>
  </si>
  <si>
    <t>TIB Grants - Emergency Pavement Repair</t>
  </si>
  <si>
    <t>101-000-000-334-03-80-07</t>
  </si>
  <si>
    <t>TIB Grant - Streetlight Conversion</t>
  </si>
  <si>
    <t>101-000-000-334-03-80-08</t>
  </si>
  <si>
    <t>TIB Grant - Cherry Street Sidewalk</t>
  </si>
  <si>
    <t>101-000-000-334-03-80-09</t>
  </si>
  <si>
    <t>TIB Grant - Portal Way Sidewalks</t>
  </si>
  <si>
    <t>101-000-000-334-03-80-10</t>
  </si>
  <si>
    <t>TIB Grant - Main St Overlay</t>
  </si>
  <si>
    <t>101-000-000-334-04-22-00</t>
  </si>
  <si>
    <t>Grant - Port of B'ham - Wayfinding Program</t>
  </si>
  <si>
    <t>101-000-000-336-00-71-00</t>
  </si>
  <si>
    <t>Multimodal Transpo City</t>
  </si>
  <si>
    <t>101-000-000-336-00-87-00</t>
  </si>
  <si>
    <t>Motor Vehicle Fuel Tax</t>
  </si>
  <si>
    <t>101-000-000-336-00-87-01</t>
  </si>
  <si>
    <t>MVA Transpo City</t>
  </si>
  <si>
    <t>          Interlocal Grants, Entitlements, Payments, and Tax</t>
  </si>
  <si>
    <t>              Inter-Govt Grants-Whatcom CO</t>
  </si>
  <si>
    <t>101-000-000-337-07-00-02</t>
  </si>
  <si>
    <t>Port of Bellingham Wayfinding Grant</t>
  </si>
  <si>
    <t>101-000-000-337-07-00-03</t>
  </si>
  <si>
    <t>EDI Grant - Wayfinding</t>
  </si>
  <si>
    <t>              Total Inter-Govt Grants-Whatcom CO</t>
  </si>
  <si>
    <t>101-000-000-342-40-00-00</t>
  </si>
  <si>
    <t>Encroachment Permits</t>
  </si>
  <si>
    <t>101-000-000-342-40-00-01</t>
  </si>
  <si>
    <t>Encroachment Permits - Refunds</t>
  </si>
  <si>
    <t>101-000-000-342-40-00-02</t>
  </si>
  <si>
    <t>Haul Route Review Fees</t>
  </si>
  <si>
    <t>101-000-000-344-91-00-00</t>
  </si>
  <si>
    <t>101-000-000-361-11-00-00</t>
  </si>
  <si>
    <t>101-000-000-362-00-00-01</t>
  </si>
  <si>
    <t>Building Rent</t>
  </si>
  <si>
    <t>101-000-000-369-10-00-00</t>
  </si>
  <si>
    <t>Sale of Scrap Metal</t>
  </si>
  <si>
    <t>101-000-000-369-40-00-00</t>
  </si>
  <si>
    <t>Settlements</t>
  </si>
  <si>
    <t>101-000-000-369-91-00-00</t>
  </si>
  <si>
    <t>          Disposition of Capital Assets</t>
  </si>
  <si>
    <t>            Compensation for Loss of Capital Assets -Insurance</t>
  </si>
  <si>
    <t>101-000-000-395-20-00-01</t>
  </si>
  <si>
    <t>Insurance Recoveries - Capital</t>
  </si>
  <si>
    <t>            Total Compensation for Loss of Capital Assets -Insurance</t>
  </si>
  <si>
    <t>101-000-000-397-00-00-06</t>
  </si>
  <si>
    <t>TR From Traffic Mitig 104</t>
  </si>
  <si>
    <t>101-000-000-397-00-00-07</t>
  </si>
  <si>
    <t>TR FR Solid Waste Tax 005</t>
  </si>
  <si>
    <t>101-000-000-397-00-00-11</t>
  </si>
  <si>
    <t>Transfer From TBD 113</t>
  </si>
  <si>
    <t>101-000-000-397-00-00-12</t>
  </si>
  <si>
    <t>TR From TBD .2% Sales Tax 113 - WA Street Vista to Third</t>
  </si>
  <si>
    <t>101-000-000-397-00-00-13</t>
  </si>
  <si>
    <t>TR From TBD .2% Sales Tax 113 - Library Crosswalk</t>
  </si>
  <si>
    <t>101-000-000-397-00-00-14</t>
  </si>
  <si>
    <t>TR From TBD .2% Sales Tax 113 - Crack Sealing</t>
  </si>
  <si>
    <t>101-000-000-397-00-00-15</t>
  </si>
  <si>
    <t>TR From REET 2  302</t>
  </si>
  <si>
    <t>101-000-000-397-00-00-16</t>
  </si>
  <si>
    <t>Transfer from 301 REET 1</t>
  </si>
  <si>
    <t>101-000-000-397-00-00-17</t>
  </si>
  <si>
    <t>TR From TBD F113 - Barrett to City Limits</t>
  </si>
  <si>
    <t>101-000-000-397-00-00-18</t>
  </si>
  <si>
    <t>TR From TBD F113 - Malloy Culvert</t>
  </si>
  <si>
    <t>          Transfers In</t>
  </si>
  <si>
    <t>          Total Transfers In</t>
  </si>
  <si>
    <t>Ending Cash Balance Fund 101</t>
  </si>
  <si>
    <t>Beginning Cash Balance Fund 102</t>
  </si>
  <si>
    <t>        Charges for Goods and Services - Planning and Development Fees and Charges</t>
  </si>
  <si>
    <t>102-000-000-345-85-00-02</t>
  </si>
  <si>
    <t>GMA Park Impact Fees</t>
  </si>
  <si>
    <t>102-000-000-345-85-00-03</t>
  </si>
  <si>
    <t>GMA Park Impact Fees - Refunds</t>
  </si>
  <si>
    <t>        Total Charges for Goods and Services - Planning and Development Fees and Charges</t>
  </si>
  <si>
    <t>102-000-000-361-11-00-00</t>
  </si>
  <si>
    <t>102-000-000-361-30-00-00</t>
  </si>
  <si>
    <t>Gains (Losses) On Investments</t>
  </si>
  <si>
    <t>Ending Cash Balance Fund 102</t>
  </si>
  <si>
    <t>Beginning Cash Balance Fund 104</t>
  </si>
  <si>
    <t>        Charges for Goods and Services</t>
  </si>
  <si>
    <t>          Physical Environment</t>
  </si>
  <si>
    <t>104-000-000-343-20-00-00</t>
  </si>
  <si>
    <t>Developer Match</t>
  </si>
  <si>
    <t>          Total Physical Environment</t>
  </si>
  <si>
    <t>          Economic Environment</t>
  </si>
  <si>
    <t>            Planning and Development Services</t>
  </si>
  <si>
    <t>104-000-000-345-85-00-00</t>
  </si>
  <si>
    <t>Traffic Mitigation Fees</t>
  </si>
  <si>
    <t>104-000-000-345-85-00-30</t>
  </si>
  <si>
    <t>Pmt In Lieu of Fees - Generic</t>
  </si>
  <si>
    <t>104-000-000-345-85-00-31</t>
  </si>
  <si>
    <t>Traf Mitigation Fees-Refunds</t>
  </si>
  <si>
    <t>            Total Planning and Development Services</t>
  </si>
  <si>
    <t>          Total Economic Environment</t>
  </si>
  <si>
    <t>        Total Charges for Goods and Services</t>
  </si>
  <si>
    <t>104-000-000-361-11-00-00</t>
  </si>
  <si>
    <t>104-000-000-361-30-00-00</t>
  </si>
  <si>
    <t>          Transfers-In</t>
  </si>
  <si>
    <t>          Total Transfers-In</t>
  </si>
  <si>
    <t>Ending Cash Balance Fund 104</t>
  </si>
  <si>
    <t>Beginning Cash Balance Fund 106</t>
  </si>
  <si>
    <t>106-000-000-336-06-21-00</t>
  </si>
  <si>
    <t>Criminal Justice-Pop</t>
  </si>
  <si>
    <t>106-000-000-336-06-26-00</t>
  </si>
  <si>
    <t>Criminal Justice-Special Prgrm</t>
  </si>
  <si>
    <t>106-000-000-361-11-00-00</t>
  </si>
  <si>
    <t>Ending Cash Balance Fund 106</t>
  </si>
  <si>
    <t>Beginning Cash Balance Fund 107</t>
  </si>
  <si>
    <t>107-000-000-313-71-00-00</t>
  </si>
  <si>
    <t>Local CJ</t>
  </si>
  <si>
    <t>107-000-000-361-11-00-00</t>
  </si>
  <si>
    <t>Ending Cash Balance Fund 107</t>
  </si>
  <si>
    <t>Beginning Cash Balance Fund 113</t>
  </si>
  <si>
    <t>          Retail Sales and Use Taxes</t>
  </si>
  <si>
    <t>113-000-000-313-21-00-00</t>
  </si>
  <si>
    <t>TBD Sales Tax</t>
  </si>
  <si>
    <t>          Total Retail Sales and Use Taxes</t>
  </si>
  <si>
    <t>113-000-000-361-11-00-00</t>
  </si>
  <si>
    <t>113-000-000-361-30-00-00</t>
  </si>
  <si>
    <t>Gains &amp; Losses on Investments</t>
  </si>
  <si>
    <t>113-000-000-361-40-00-00</t>
  </si>
  <si>
    <t>Local Sales Interest</t>
  </si>
  <si>
    <t>Ending Cash Balance Fund 113</t>
  </si>
  <si>
    <t>Beginning Cash Balance Fund 114</t>
  </si>
  <si>
    <t>114-000-000-334-03-80-01</t>
  </si>
  <si>
    <t>TIB Grant</t>
  </si>
  <si>
    <t>Ending Cash Balance Fund 114</t>
  </si>
  <si>
    <t>Beginning Cash Balance Fund 198</t>
  </si>
  <si>
    <t>Beginning Cash Balance Fund 115</t>
  </si>
  <si>
    <t>115-000-000-332-92-10-00</t>
  </si>
  <si>
    <t>Ending Cash Balance Fund 198</t>
  </si>
  <si>
    <t>Ending Cash Balance Fund 115</t>
  </si>
  <si>
    <t>198-000-000-313-31-00-00</t>
  </si>
  <si>
    <t>Hotel/Motel Lodging</t>
  </si>
  <si>
    <t>198-000-000-313-32-00-00</t>
  </si>
  <si>
    <t>Hotel/Motel Stadium</t>
  </si>
  <si>
    <t>198-000-000-361-11-00-00</t>
  </si>
  <si>
    <t>Beginning Cash Balance Fund 214</t>
  </si>
  <si>
    <t>214-000-000-361-11-00-00</t>
  </si>
  <si>
    <t>214-000-000-361-30-00-00</t>
  </si>
  <si>
    <t>214-000-000-397-00-00-02</t>
  </si>
  <si>
    <t>Transfer In From REET 302</t>
  </si>
  <si>
    <t>214-000-000-397-00-00-03</t>
  </si>
  <si>
    <t>TR IN FR Parks Mit 102</t>
  </si>
  <si>
    <t>214-000-000-397-00-00-05</t>
  </si>
  <si>
    <t>TR IN FR Solid Waste 005 Land</t>
  </si>
  <si>
    <t>Ending Cash Balance Fund 214</t>
  </si>
  <si>
    <t>Beginning Cash Balance Fund 215</t>
  </si>
  <si>
    <t>215-000-000-361-11-00-00</t>
  </si>
  <si>
    <t>215-000-000-361-40-00-00</t>
  </si>
  <si>
    <t>LID 2006-1 Interest</t>
  </si>
  <si>
    <t>215-000-000-361-51-00-03</t>
  </si>
  <si>
    <t>LID 2006-1 Penalties</t>
  </si>
  <si>
    <t>          Special Assessments</t>
  </si>
  <si>
    <t>215-000-000-368-10-00-01</t>
  </si>
  <si>
    <t>LID 2006-1 Principal</t>
  </si>
  <si>
    <t>          Total Special Assessments</t>
  </si>
  <si>
    <t>215-000-000-397-00-00-02</t>
  </si>
  <si>
    <t>TR IN From 216</t>
  </si>
  <si>
    <t>Ending Cash Balance Fund 215</t>
  </si>
  <si>
    <t>Beginning Cash Balance Fund 216</t>
  </si>
  <si>
    <t>216-000-000-361-11-00-00</t>
  </si>
  <si>
    <t>Ending Cash Balance Fund 216</t>
  </si>
  <si>
    <t>Beginning Cash Balance Fund 217</t>
  </si>
  <si>
    <t>217-000-000-361-11-00-00</t>
  </si>
  <si>
    <t>217-000-000-397-00-00-01</t>
  </si>
  <si>
    <t>TR IN FROM SOLID WASTE TAX 005</t>
  </si>
  <si>
    <t>Ending Cash Balance Fund 217</t>
  </si>
  <si>
    <t>Beginning Cash Balance Fund 218</t>
  </si>
  <si>
    <t>          Federal Entitlements</t>
  </si>
  <si>
    <t>218-000-000-332-21-20-01</t>
  </si>
  <si>
    <t>Build America Bonds Subsidy Payments</t>
  </si>
  <si>
    <t>          Total Federal Entitlements</t>
  </si>
  <si>
    <t>218-000-000-361-11-00-00</t>
  </si>
  <si>
    <t>218-000-000-388-10-00-00</t>
  </si>
  <si>
    <t>218-000-000-393-00-00-00</t>
  </si>
  <si>
    <t>Refunding Contingency</t>
  </si>
  <si>
    <t>218-000-000-393-00-00-01</t>
  </si>
  <si>
    <t>Refunding Proceeds LTGO BABS</t>
  </si>
  <si>
    <t>218-000-000-397-00-00-01</t>
  </si>
  <si>
    <t>Transfer In From Solid Waste Tax 005</t>
  </si>
  <si>
    <t>218-000-000-397-00-00-02</t>
  </si>
  <si>
    <t>Transfer In From REET 1 301</t>
  </si>
  <si>
    <t>218-000-000-397-00-00-03</t>
  </si>
  <si>
    <t>Transfer In From Park Mitigation 102</t>
  </si>
  <si>
    <t>218-000-000-397-00-00-04</t>
  </si>
  <si>
    <t>Transfer In From Cur Expense 001</t>
  </si>
  <si>
    <t>Total 2010 Limited Tax General Obligation Bond Redemption</t>
  </si>
  <si>
    <t>2010 Limited Tax General Obligation Bond Redemption</t>
  </si>
  <si>
    <t>Ending Cash Balance Fund 218</t>
  </si>
  <si>
    <t>Beginning Cash Balance Fund 219</t>
  </si>
  <si>
    <t>219-000-000-361-11-00-00</t>
  </si>
  <si>
    <t>219-000-000-397-00-00-01</t>
  </si>
  <si>
    <t>Transfer In From Solid Waste Utility Tax Fund 005</t>
  </si>
  <si>
    <t>219-000-000-397-00-00-02</t>
  </si>
  <si>
    <t>Transfer In From REET 1 Fund 301</t>
  </si>
  <si>
    <t>Ending Cash Balance Fund 219</t>
  </si>
  <si>
    <t>Beginning Cash Balance Fund 220</t>
  </si>
  <si>
    <t>220-000-000-311-10-00-00</t>
  </si>
  <si>
    <t>Voted Library Property Tax</t>
  </si>
  <si>
    <t>220-000-000-361-11-00-00</t>
  </si>
  <si>
    <t>220-000-000-397-00-00-01</t>
  </si>
  <si>
    <t>Transfer In From Solid Waste Utility Tax 005</t>
  </si>
  <si>
    <t>220-000-000-397-00-00-02</t>
  </si>
  <si>
    <t>Ending Cash Balance Fund 220</t>
  </si>
  <si>
    <t>Beginning Cash Balance Fund 301</t>
  </si>
  <si>
    <t>301-000-000-318-34-00-00</t>
  </si>
  <si>
    <t>REET 1 - 1st 1/4%</t>
  </si>
  <si>
    <t>301-000-000-361-11-00-00</t>
  </si>
  <si>
    <t>301-000-000-361-30-00-00</t>
  </si>
  <si>
    <t>Ending Cash Balance Fund 301</t>
  </si>
  <si>
    <t>Beginning Cash Balance Fund 302</t>
  </si>
  <si>
    <t>302-000-000-318-35-00-00</t>
  </si>
  <si>
    <t>REET 2 - 2nd 1/4%</t>
  </si>
  <si>
    <t>302-000-000-361-11-00-00</t>
  </si>
  <si>
    <t>302-000-000-361-30-00-00</t>
  </si>
  <si>
    <t>302-000-000-397-00-00-01</t>
  </si>
  <si>
    <t>Transfer In (Residual) From Church Road CN Fund 346</t>
  </si>
  <si>
    <t>Ending Cash Balance Fund 302</t>
  </si>
  <si>
    <t>Beginning Cash Balance Fund 370</t>
  </si>
  <si>
    <t>Beginning Cash Balance Fund 310</t>
  </si>
  <si>
    <t>310-000-000-334-02-70-01</t>
  </si>
  <si>
    <t>RCO Grant</t>
  </si>
  <si>
    <t>310-000-000-367-00-00-00</t>
  </si>
  <si>
    <t>Donations</t>
  </si>
  <si>
    <t>310-000-000-397-00-00-01</t>
  </si>
  <si>
    <t>Transfer from Fund 301</t>
  </si>
  <si>
    <t>310-000-000-397-00-00-02</t>
  </si>
  <si>
    <t>Transfer from Fund 302</t>
  </si>
  <si>
    <t>310-000-000-397-00-00-03</t>
  </si>
  <si>
    <t>TR from F102 Park Mitigation</t>
  </si>
  <si>
    <t>Ending Cash Balance Fund 310</t>
  </si>
  <si>
    <t>370-000-000-333-11-00-00</t>
  </si>
  <si>
    <t>370-000-000-334-03-60-00</t>
  </si>
  <si>
    <t>DOT Grant</t>
  </si>
  <si>
    <t>370-000-000-334-03-80-01</t>
  </si>
  <si>
    <t>370-000-000-337-00-00-00</t>
  </si>
  <si>
    <t>370-000-000-337-00-00-01</t>
  </si>
  <si>
    <t>Connecting WA Grant</t>
  </si>
  <si>
    <t>370-000-000-344-10-00-00</t>
  </si>
  <si>
    <t>Other Revenue</t>
  </si>
  <si>
    <t>370-000-000-361-11-00-00</t>
  </si>
  <si>
    <t>370-000-000-397-00-00-01</t>
  </si>
  <si>
    <t>Transfer In From Traffic Mit. Fund No.104</t>
  </si>
  <si>
    <t>370-000-000-397-00-00-03</t>
  </si>
  <si>
    <t>Transfer In From Streets F101</t>
  </si>
  <si>
    <t>370-000-000-397-00-00-04</t>
  </si>
  <si>
    <t>Transfer In From Solid Waste F005</t>
  </si>
  <si>
    <t>370-000-000-397-00-00-05</t>
  </si>
  <si>
    <t>Transfer from REET 1 F301</t>
  </si>
  <si>
    <t>370-000-000-397-00-00-06</t>
  </si>
  <si>
    <t>Transfer from REET 2 F302</t>
  </si>
  <si>
    <t>370-000-000-397-00-00-07</t>
  </si>
  <si>
    <t>Transfer from TBD F113</t>
  </si>
  <si>
    <t>370-000-100-391-60-00-00</t>
  </si>
  <si>
    <t>Anticipation Note Proceeds</t>
  </si>
  <si>
    <t>Ending Cash Balance Fund 370</t>
  </si>
  <si>
    <t>Beginning Cash Balance Fund 401</t>
  </si>
  <si>
    <t>401-000-000-321-91-00-01</t>
  </si>
  <si>
    <t>Cell Phone Tower Rental</t>
  </si>
  <si>
    <t>401-000-000-333-11-00-00</t>
  </si>
  <si>
    <t>401-000-000-333-66-40-01</t>
  </si>
  <si>
    <t xml:space="preserve">Fed Ind Grant - CFDA 66.468 Consolidation of CCWA </t>
  </si>
  <si>
    <t>401-000-000-333-97-00-00</t>
  </si>
  <si>
    <t>401-000-000-343-40-20-00</t>
  </si>
  <si>
    <t>Water Connections</t>
  </si>
  <si>
    <t>401-000-000-343-40-20-01</t>
  </si>
  <si>
    <t>Connections-Utility Billings</t>
  </si>
  <si>
    <t>401-000-000-343-40-20-02</t>
  </si>
  <si>
    <t>Connections-Refunds</t>
  </si>
  <si>
    <t>401-000-000-343-40-30-00</t>
  </si>
  <si>
    <t>Sales &amp; Service</t>
  </si>
  <si>
    <t>401-000-000-343-40-30-01</t>
  </si>
  <si>
    <t>Water Sales - Discounted</t>
  </si>
  <si>
    <t>401-000-000-343-40-30-02</t>
  </si>
  <si>
    <t>Bulk Water Sales</t>
  </si>
  <si>
    <t>401-000-000-343-40-30-03</t>
  </si>
  <si>
    <t>Water Sales - Refunds</t>
  </si>
  <si>
    <t>401-000-000-343-40-40-00</t>
  </si>
  <si>
    <t>Set UP Fees</t>
  </si>
  <si>
    <t>401-000-000-343-40-40-01</t>
  </si>
  <si>
    <t>Set up Fees 2022</t>
  </si>
  <si>
    <t>401-000-000-343-40-40-02</t>
  </si>
  <si>
    <t>Reconnection Fees</t>
  </si>
  <si>
    <t>401-000-000-343-40-40-03</t>
  </si>
  <si>
    <t>Meter Charge</t>
  </si>
  <si>
    <t>401-000-000-343-40-40-04</t>
  </si>
  <si>
    <t>Hydrant Meter Deposits</t>
  </si>
  <si>
    <t>401-000-000-343-40-40-05</t>
  </si>
  <si>
    <t>Set UP Fees - New Meter Set</t>
  </si>
  <si>
    <t>401-000-000-343-40-40-06</t>
  </si>
  <si>
    <t>Installation Fee-New Meter Set</t>
  </si>
  <si>
    <t>401-000-000-343-40-40-07</t>
  </si>
  <si>
    <t>Prop Sale Final Meter Read Fee</t>
  </si>
  <si>
    <t>401-000-000-343-40-40-08</t>
  </si>
  <si>
    <t>Hydrant Meter Setup Fee</t>
  </si>
  <si>
    <t>401-000-000-343-40-40-09</t>
  </si>
  <si>
    <t>Hydr Metr Rentl/con/permit Fee</t>
  </si>
  <si>
    <t>401-000-000-343-40-40-10</t>
  </si>
  <si>
    <t>Meter Testing Fee</t>
  </si>
  <si>
    <t>401-000-000-343-40-90-00</t>
  </si>
  <si>
    <t>401-000-000-359-00-40-00</t>
  </si>
  <si>
    <t>401-000-000-359-00-40-01</t>
  </si>
  <si>
    <t>NSF Fees</t>
  </si>
  <si>
    <t>401-000-000-359-00-40-02</t>
  </si>
  <si>
    <t>Violation Fees</t>
  </si>
  <si>
    <t>401-000-000-359-00-40-03</t>
  </si>
  <si>
    <t>Late Fees 2022</t>
  </si>
  <si>
    <t>401-000-000-361-11-00-00</t>
  </si>
  <si>
    <t>401-000-000-361-30-00-00</t>
  </si>
  <si>
    <t>401-000-000-361-40-00-00</t>
  </si>
  <si>
    <t>Other Interest</t>
  </si>
  <si>
    <t>401-000-000-369-10-00-00</t>
  </si>
  <si>
    <t>Sale of Scrap</t>
  </si>
  <si>
    <t>401-000-000-369-20-00-00</t>
  </si>
  <si>
    <t>Unclaimed Property</t>
  </si>
  <si>
    <t>401-000-000-369-90-00-02</t>
  </si>
  <si>
    <t>PSE Grant</t>
  </si>
  <si>
    <t>        Nonrevenues</t>
  </si>
  <si>
    <t>401-000-000-381-10-00-01</t>
  </si>
  <si>
    <t>Interfund Loan From Sewer 402</t>
  </si>
  <si>
    <t>          Proceeds of Long-Term Debt-Proprietary Funds Only</t>
  </si>
  <si>
    <t>401-000-000-382-10-00-02</t>
  </si>
  <si>
    <t>          Total Proceeds of Long-Term Debt-Proprietary Funds Only</t>
  </si>
  <si>
    <t>        Total Nonrevenues</t>
  </si>
  <si>
    <t>401-000-000-391-20-00-00</t>
  </si>
  <si>
    <t>Major Project Revenue Bond Proceeds</t>
  </si>
  <si>
    <t>401-000-000-391-70-00-00</t>
  </si>
  <si>
    <t>CCWA Debt Proceeds</t>
  </si>
  <si>
    <t>401-000-000-391-70-00-01</t>
  </si>
  <si>
    <t>WTP Upgrade Loan Proceeds</t>
  </si>
  <si>
    <t>401-000-000-391-80-00-00</t>
  </si>
  <si>
    <t>WA DOH CCWA Loan Proceeds</t>
  </si>
  <si>
    <t>401-000-000-391-90-00-02</t>
  </si>
  <si>
    <t>Loan Proceeds</t>
  </si>
  <si>
    <t>401-000-000-397-00-00-01</t>
  </si>
  <si>
    <t>Other Fin Sources-TR From 302</t>
  </si>
  <si>
    <t>401-000-000-397-00-00-02</t>
  </si>
  <si>
    <t>Transfer In From Bond Resv 404</t>
  </si>
  <si>
    <t>401-000-001-343-40-90-00</t>
  </si>
  <si>
    <t>Ending Cash Balance Fund 401</t>
  </si>
  <si>
    <t>Beginning Cash Balance Fund 402</t>
  </si>
  <si>
    <t>402-000-000-333-11-00-00</t>
  </si>
  <si>
    <t>402-000-000-333-20-20-01</t>
  </si>
  <si>
    <t>Fed Ind Grant - CFDA 20.205 Church Road</t>
  </si>
  <si>
    <t>402-000-000-333-97-00-00</t>
  </si>
  <si>
    <t>402-000-000-333-97-03-60</t>
  </si>
  <si>
    <t>Federal Indirect Grant - DHS Disaster Grant CFDA 97.036</t>
  </si>
  <si>
    <t>402-000-000-343-50-20-00</t>
  </si>
  <si>
    <t>Sewer Connections</t>
  </si>
  <si>
    <t>402-000-000-343-50-20-01</t>
  </si>
  <si>
    <t>402-000-000-343-50-20-02</t>
  </si>
  <si>
    <t>402-000-000-343-50-30-00</t>
  </si>
  <si>
    <t>402-000-000-343-50-30-01</t>
  </si>
  <si>
    <t>Intergovernment-Leachate</t>
  </si>
  <si>
    <t>402-000-000-343-50-30-02</t>
  </si>
  <si>
    <t>Sewer Sales - Discounted</t>
  </si>
  <si>
    <t>402-000-000-343-50-30-03</t>
  </si>
  <si>
    <t>Other Miscellaneous Revenue</t>
  </si>
  <si>
    <t>402-000-000-343-50-30-06</t>
  </si>
  <si>
    <t>Sewer Inspection Fee-New Conn.</t>
  </si>
  <si>
    <t>402-000-000-343-50-30-07</t>
  </si>
  <si>
    <t>Set-up Fees</t>
  </si>
  <si>
    <t>402-000-000-343-50-30-08</t>
  </si>
  <si>
    <t>Reconnect Fees</t>
  </si>
  <si>
    <t>402-000-000-350-00-00-00</t>
  </si>
  <si>
    <t>Fines and Penalties</t>
  </si>
  <si>
    <t>402-000-000-359-00-40-00</t>
  </si>
  <si>
    <t>402-000-000-359-00-40-01</t>
  </si>
  <si>
    <t>402-000-000-359-00-40-02</t>
  </si>
  <si>
    <t>402-000-000-359-00-40-03</t>
  </si>
  <si>
    <t>402-000-000-361-11-00-00</t>
  </si>
  <si>
    <t>402-000-000-361-30-00-00</t>
  </si>
  <si>
    <t>402-000-000-361-40-00-00</t>
  </si>
  <si>
    <t>402-000-000-369-10-00-01</t>
  </si>
  <si>
    <t>Sales of Scrap</t>
  </si>
  <si>
    <t>402-000-000-369-20-00-00</t>
  </si>
  <si>
    <t>402-000-000-382-10-00-01</t>
  </si>
  <si>
    <t>Sewer Refundable Deposits</t>
  </si>
  <si>
    <t>          Proceeds of Long-Term Debt-Governmental Funds Only</t>
  </si>
  <si>
    <t>402-000-000-391-80-00-01</t>
  </si>
  <si>
    <t>WWTP DOE Loan Proceeds</t>
  </si>
  <si>
    <t>402-000-000-391-90-00-00</t>
  </si>
  <si>
    <t>WWTP Loan Proceeds</t>
  </si>
  <si>
    <t>          Total Proceeds of Long-Term Debt-Governmental Funds Only</t>
  </si>
  <si>
    <t>402-000-000-395-10-00-00</t>
  </si>
  <si>
    <t>Sale of Capital Assets</t>
  </si>
  <si>
    <t>402-000-000-397-00-00-02</t>
  </si>
  <si>
    <t>Ending Cash Balance Fund 402</t>
  </si>
  <si>
    <t>Beginning Cash Balance Fund 403</t>
  </si>
  <si>
    <t>403-000-000-361-11-00-00</t>
  </si>
  <si>
    <t>403-000-000-393-00-00-00</t>
  </si>
  <si>
    <t>2020 Refunding Bond Contingency</t>
  </si>
  <si>
    <t>403-000-000-393-00-00-01</t>
  </si>
  <si>
    <t>Refunding Revenue Bond Proceeds</t>
  </si>
  <si>
    <t>403-000-000-397-00-00-00</t>
  </si>
  <si>
    <t>Transfer From Sewer 402</t>
  </si>
  <si>
    <t>403-000-000-397-00-00-01</t>
  </si>
  <si>
    <t>Trans From Water 401</t>
  </si>
  <si>
    <t>403-000-000-397-00-00-02</t>
  </si>
  <si>
    <t>Transfer In From Storm 407</t>
  </si>
  <si>
    <t>Ending Cash Balance Fund 403</t>
  </si>
  <si>
    <t>Beginning Cash Balance Fund 404</t>
  </si>
  <si>
    <t>404-000-000-361-11-00-00</t>
  </si>
  <si>
    <t>404-000-000-361-30-00-00</t>
  </si>
  <si>
    <t>Ending Cash Balance Fund 404</t>
  </si>
  <si>
    <t>Beginning Cash Balance Fund 405</t>
  </si>
  <si>
    <t>WWTP Debt Service Fund</t>
  </si>
  <si>
    <t>405-000-000-361-11-00-00</t>
  </si>
  <si>
    <t>405-000-000-397-00-00-00</t>
  </si>
  <si>
    <t>From Sewer 402</t>
  </si>
  <si>
    <t>Total WWTP Debt Service Fund</t>
  </si>
  <si>
    <t>Ending Cash Balance Fund 405</t>
  </si>
  <si>
    <t>Beginning Cash Balance Fund 407</t>
  </si>
  <si>
    <t>407-000-000-333-11-00-00</t>
  </si>
  <si>
    <t>407-000-000-333-97-00-00</t>
  </si>
  <si>
    <t>407-000-000-334-03-10-02</t>
  </si>
  <si>
    <t>DOE Grants</t>
  </si>
  <si>
    <t>407-000-000-334-03-10-03</t>
  </si>
  <si>
    <t>DOE Grant Decant Construction</t>
  </si>
  <si>
    <t>407-000-000-334-03-80-04</t>
  </si>
  <si>
    <t>TIB Grant - WA Street</t>
  </si>
  <si>
    <t>407-000-000-337-00-00-00</t>
  </si>
  <si>
    <t>Whatcom County Storm Grant</t>
  </si>
  <si>
    <t>407-000-000-343-10-00-00</t>
  </si>
  <si>
    <t>Storm Utility Rate Revenue</t>
  </si>
  <si>
    <t>407-000-000-343-10-00-01</t>
  </si>
  <si>
    <t>Storm Utility Rate Revenue - Discounted</t>
  </si>
  <si>
    <t>407-000-000-343-10-00-02</t>
  </si>
  <si>
    <t>Storm Utility Rate Revenue - Refunds</t>
  </si>
  <si>
    <t>407-000-000-343-10-00-03</t>
  </si>
  <si>
    <t>Storm Utility Inspection Fee - New Connections</t>
  </si>
  <si>
    <t>407-000-000-343-10-00-04</t>
  </si>
  <si>
    <t>407-000-000-345-85-00-03</t>
  </si>
  <si>
    <t>Storm Mit Fees-Dev/Commercial</t>
  </si>
  <si>
    <t>407-000-000-345-85-00-04</t>
  </si>
  <si>
    <t>Storm Mit Fees-VanderYaght Regional</t>
  </si>
  <si>
    <t>407-000-000-345-85-00-05</t>
  </si>
  <si>
    <t xml:space="preserve">Storm Mit Fees-SW Regional </t>
  </si>
  <si>
    <t>407-000-000-345-85-00-06</t>
  </si>
  <si>
    <t>Storm Mit Fees-Neubauer Regional</t>
  </si>
  <si>
    <t>407-000-000-345-85-00-10</t>
  </si>
  <si>
    <t>Storm Mit Fees Resid-Refunds</t>
  </si>
  <si>
    <t>407-000-000-345-89-00-01</t>
  </si>
  <si>
    <t>Storm Mitigation Fees-Land</t>
  </si>
  <si>
    <t>407-000-000-345-89-00-02</t>
  </si>
  <si>
    <t>Storm Mit Fees-Dev/Residential</t>
  </si>
  <si>
    <t>407-000-000-359-00-40-00</t>
  </si>
  <si>
    <t>407-000-000-359-00-40-01</t>
  </si>
  <si>
    <t>407-000-000-359-00-40-02</t>
  </si>
  <si>
    <t>407-000-000-361-11-00-00</t>
  </si>
  <si>
    <t>407-000-000-361-30-00-00</t>
  </si>
  <si>
    <t>407-000-000-361-40-00-00</t>
  </si>
  <si>
    <t>407-000-000-369-20-00-00</t>
  </si>
  <si>
    <t>407-000-000-381-10-00-00</t>
  </si>
  <si>
    <t>Interfund Loan From CE 001</t>
  </si>
  <si>
    <t>407-000-000-382-10-00-01</t>
  </si>
  <si>
    <t>407-000-000-391-90-00-00</t>
  </si>
  <si>
    <t>407-000-000-397-00-00-05</t>
  </si>
  <si>
    <t>407-000-000-397-00-00-06</t>
  </si>
  <si>
    <t>Transfer IN from Traffic Mit. F104</t>
  </si>
  <si>
    <t>Ending Cash Balance Fund 407</t>
  </si>
  <si>
    <t>Beginning Cash Balance Fund 408</t>
  </si>
  <si>
    <t>408-000-000-361-11-00-00</t>
  </si>
  <si>
    <t>408-000-000-361-30-00-00</t>
  </si>
  <si>
    <t>408-000-000-397-00-00-00</t>
  </si>
  <si>
    <t>408-000-000-397-00-00-03</t>
  </si>
  <si>
    <t>Transfer From Storm 407</t>
  </si>
  <si>
    <t>408-000-000-397-00-00-04</t>
  </si>
  <si>
    <t>Transfer From Water 401</t>
  </si>
  <si>
    <t>408-000-000-397-00-00-06</t>
  </si>
  <si>
    <t>Transfer In From Solid Waste Tax Fund 005</t>
  </si>
  <si>
    <t>408-000-000-397-00-00-07</t>
  </si>
  <si>
    <t>Transfer In From Cur Exp 001</t>
  </si>
  <si>
    <t>408-000-000-397-00-00-08</t>
  </si>
  <si>
    <t>Transfer In From Streets 101</t>
  </si>
  <si>
    <t>Ending Cash Balance Fund 408</t>
  </si>
  <si>
    <t>Beginning Cash Balance Fund 409</t>
  </si>
  <si>
    <t>409-000-000-361-11-00-00</t>
  </si>
  <si>
    <t>409-000-000-368-10-00-00</t>
  </si>
  <si>
    <t>CCWA Water Conversion Assessment Payments</t>
  </si>
  <si>
    <t>409-000-000-397-00-00-00</t>
  </si>
  <si>
    <t>Transfer IN From Water 401</t>
  </si>
  <si>
    <t>Ending Cash Balance Fund 409</t>
  </si>
  <si>
    <t>Beginning Cash Balance Fund 413</t>
  </si>
  <si>
    <t>413-000-000-391-20-00-00</t>
  </si>
  <si>
    <t>WTP Loan Proceeds</t>
  </si>
  <si>
    <t>413-000-000-397-00-00-01</t>
  </si>
  <si>
    <t>TR From F414</t>
  </si>
  <si>
    <t>Ending Cash Balance Fund 413</t>
  </si>
  <si>
    <t>Beginning Cash Balance Fund 414</t>
  </si>
  <si>
    <t>414-000-000-391-20-00-00</t>
  </si>
  <si>
    <t>Shop Well 2 Loan Proceeds</t>
  </si>
  <si>
    <t>414-000-000-397-00-00-00</t>
  </si>
  <si>
    <t>Transfer IN from Fund 302 REET 2</t>
  </si>
  <si>
    <t>Ending Cash Balance Fund 414</t>
  </si>
  <si>
    <t>Beginning Cash Balance Fund 415</t>
  </si>
  <si>
    <t>415-000-000-334-04-20-00</t>
  </si>
  <si>
    <t>Public Works Board Grant</t>
  </si>
  <si>
    <t>415-000-000-391-70-00-00</t>
  </si>
  <si>
    <t>Line of Credit Proceeds</t>
  </si>
  <si>
    <t>415-000-000-391-80-00-00</t>
  </si>
  <si>
    <t>DOE Loan Proceeds</t>
  </si>
  <si>
    <t>415-000-100-397-00-00-01</t>
  </si>
  <si>
    <t>Transfer from Fund 402</t>
  </si>
  <si>
    <t>Ending Cash Balance Fund 415</t>
  </si>
  <si>
    <t>Beginning Cash Balance Fund 510</t>
  </si>
  <si>
    <t>510-000-000-333-11-00-00</t>
  </si>
  <si>
    <t>510-000-000-333-21-00-00</t>
  </si>
  <si>
    <t>Cares Act Grant - AOC</t>
  </si>
  <si>
    <t>510-000-000-348-20-00-00</t>
  </si>
  <si>
    <t>Interfund Computer Rental</t>
  </si>
  <si>
    <t>510-000-000-361-11-00-00</t>
  </si>
  <si>
    <t>          Sub-Account</t>
  </si>
  <si>
    <t>510-000-000-365-20-00-00</t>
  </si>
  <si>
    <t>          Total Sub-Account</t>
  </si>
  <si>
    <t>510-000-000-397-00-00-01</t>
  </si>
  <si>
    <t>Transfer In From 005</t>
  </si>
  <si>
    <t>510-000-000-397-00-00-02</t>
  </si>
  <si>
    <t>TR from F001</t>
  </si>
  <si>
    <t>Ending Cash Balance Fund 510</t>
  </si>
  <si>
    <t>Beginning Cash Balance Fund 550</t>
  </si>
  <si>
    <t>550-000-000-333-11-00-00</t>
  </si>
  <si>
    <t>550-000-000-333-97-00-00</t>
  </si>
  <si>
    <t>550-000-000-348-20-00-00</t>
  </si>
  <si>
    <t>Interfund Equipment Rental</t>
  </si>
  <si>
    <t>550-000-000-361-11-00-00</t>
  </si>
  <si>
    <t>550-000-000-361-30-00-00</t>
  </si>
  <si>
    <t>550-000-000-369-10-00-00</t>
  </si>
  <si>
    <t>Sale of Vehicles &amp; Equipment</t>
  </si>
  <si>
    <t>550-000-000-369-91-00-00</t>
  </si>
  <si>
    <t>Miscellaneous Revenue</t>
  </si>
  <si>
    <t>550-000-000-381-10-00-01</t>
  </si>
  <si>
    <t>Interfund Loan Received from 001</t>
  </si>
  <si>
    <t>550-000-000-391-10-00-00</t>
  </si>
  <si>
    <t>State GO Bond Proceeds (LOCAL)</t>
  </si>
  <si>
    <t>550-000-000-395-10-00-00</t>
  </si>
  <si>
    <t>550-000-000-395-20-00-01</t>
  </si>
  <si>
    <t>          Total Disposition of Capital Assets</t>
  </si>
  <si>
    <t>550-000-000-397-00-00-02</t>
  </si>
  <si>
    <t>TR IN From F001</t>
  </si>
  <si>
    <t>550-000-000-397-00-00-03</t>
  </si>
  <si>
    <t>TR IN From F101</t>
  </si>
  <si>
    <t>550-000-000-397-00-00-04</t>
  </si>
  <si>
    <t>TR IN From F401</t>
  </si>
  <si>
    <t>550-000-000-397-00-00-05</t>
  </si>
  <si>
    <t>TR IN From F402</t>
  </si>
  <si>
    <t>550-000-000-397-00-00-06</t>
  </si>
  <si>
    <t>TR IN From F407</t>
  </si>
  <si>
    <t>550-000-000-397-00-00-07</t>
  </si>
  <si>
    <t>TR IN From TBD F113</t>
  </si>
  <si>
    <t>550-000-000-397-00-00-08</t>
  </si>
  <si>
    <t>TR IN From F005</t>
  </si>
  <si>
    <t>Ending Cash Balance Fund 550</t>
  </si>
  <si>
    <t>Beginning Cash Balance Fund 650</t>
  </si>
  <si>
    <t>650-000-000-386-00-00-00</t>
  </si>
  <si>
    <t>Crime Victims</t>
  </si>
  <si>
    <t>650-000-000-388-10-00-00</t>
  </si>
  <si>
    <t>650-000-000-389-00-00-00</t>
  </si>
  <si>
    <t>Trust Account</t>
  </si>
  <si>
    <t>650-000-100-389-30-00-00</t>
  </si>
  <si>
    <t>Energy Code Revenue</t>
  </si>
  <si>
    <t>650-000-100-389-30-00-01</t>
  </si>
  <si>
    <t>650-000-100-389-30-00-02</t>
  </si>
  <si>
    <t>Ending Cash Balance Fund 650</t>
  </si>
  <si>
    <t>Beginning Cash Balance Fund 651</t>
  </si>
  <si>
    <t>651-000-000-389-40-00-00</t>
  </si>
  <si>
    <t>Court Activity Deposits</t>
  </si>
  <si>
    <t>Ending Cash Balance Fund 651</t>
  </si>
  <si>
    <t>Beginning Cash Balance</t>
  </si>
  <si>
    <t>Ending Cash Balance</t>
  </si>
  <si>
    <t>Grand Totals - Expenditures</t>
  </si>
  <si>
    <t>Grand Totals - Revenues</t>
  </si>
  <si>
    <t>Transfers In</t>
  </si>
  <si>
    <t>Transfers Out</t>
  </si>
  <si>
    <t>2022 YTD 10.05.22</t>
  </si>
  <si>
    <t>001-000-002-317-20-00-01</t>
  </si>
  <si>
    <t>Leasehold Tax/Local Leasehold Interest</t>
  </si>
  <si>
    <t>Contract Finance Director Temp Services</t>
  </si>
  <si>
    <t>001-000-004-514-20-41-01</t>
  </si>
  <si>
    <t>001-000-015-544-20-43-00</t>
  </si>
  <si>
    <t>                Grand Totals</t>
  </si>
  <si>
    <t>Vactor Truck</t>
  </si>
  <si>
    <t>550-000-000-596-60-64-47</t>
  </si>
  <si>
    <t>Replace Truck T-25</t>
  </si>
  <si>
    <t>550-000-000-594-38-64-01</t>
  </si>
  <si>
    <t>Replace Truck T-16</t>
  </si>
  <si>
    <t>550-000-000-594-38-64-00</t>
  </si>
  <si>
    <t>407-000-003-597-00-86-11</t>
  </si>
  <si>
    <t>Transfer to F550 T-25</t>
  </si>
  <si>
    <t>407-000-003-597-00-86-08</t>
  </si>
  <si>
    <t>Transfer to F550 T-16</t>
  </si>
  <si>
    <t>407-000-003-597-00-86-07</t>
  </si>
  <si>
    <t>                  Total Transfers Out</t>
  </si>
  <si>
    <t>                  Transfers Out</t>
  </si>
  <si>
    <t>407-000-002-594-38-60-34</t>
  </si>
  <si>
    <t>                    Total Transfers Out</t>
  </si>
  <si>
    <t>                    Transfers Out</t>
  </si>
  <si>
    <t xml:space="preserve">WWTP Project Design/PS&amp;E </t>
  </si>
  <si>
    <t>402-000-005-594-35-63-52</t>
  </si>
  <si>
    <t>NPDES Wastewater Discharge Permit</t>
  </si>
  <si>
    <t>402-000-004-535-80-51-00</t>
  </si>
  <si>
    <t>O&amp;M - Aerator Supplies 402</t>
  </si>
  <si>
    <t>402-000-004-535-80-31-15</t>
  </si>
  <si>
    <t>402-000-002-535-50-42-00</t>
  </si>
  <si>
    <t>Misc. - Pharmaceutical Take-Back Program</t>
  </si>
  <si>
    <t>402-000-001-535-10-49-02</t>
  </si>
  <si>
    <t>                    Total Other Nonexpenditures</t>
  </si>
  <si>
    <t>401-000-100-589-00-00-01</t>
  </si>
  <si>
    <t>                    Other Nonexpenditures</t>
  </si>
  <si>
    <t>TR TO F550 Truck T-25</t>
  </si>
  <si>
    <t>401-000-005-597-00-83-12</t>
  </si>
  <si>
    <t>Water System Plan</t>
  </si>
  <si>
    <t>401-000-005-594-64-00-21</t>
  </si>
  <si>
    <t>                    Total Detail</t>
  </si>
  <si>
    <t>                    Detail</t>
  </si>
  <si>
    <t>TR to F104</t>
  </si>
  <si>
    <t>347-000-000-597-00-00-00</t>
  </si>
  <si>
    <t>Main &amp; LaBounty R/O COF Labor</t>
  </si>
  <si>
    <t>347-000-000-595-30-60-04</t>
  </si>
  <si>
    <t>Total Expenditures</t>
  </si>
  <si>
    <t>Expenditures</t>
  </si>
  <si>
    <t>TR to F001</t>
  </si>
  <si>
    <t>309-000-000-597-00-00-00</t>
  </si>
  <si>
    <t>Total 2010 Limited Tax General Obligation Bond Redemptio</t>
  </si>
  <si>
    <t>2010 Limited Tax General Obligation Bond Redemptio</t>
  </si>
  <si>
    <t>TR TO CE 001 Wayfinding</t>
  </si>
  <si>
    <t>198-000-000-597-00-00-10</t>
  </si>
  <si>
    <t>198-000-000-573-90-49-11</t>
  </si>
  <si>
    <t>TR TO Fund 550 Truck T-16</t>
  </si>
  <si>
    <t>101-000-010-597-00-00-14</t>
  </si>
  <si>
    <t>WA Street Main to Vista - Misc.</t>
  </si>
  <si>
    <t>101-000-001-595-30-00-20</t>
  </si>
  <si>
    <t>Fed Ind Grant - WCOG Malloy to Vista</t>
  </si>
  <si>
    <t>101-000-000-000-00-00-33</t>
  </si>
  <si>
    <t>TR TO Thornton 370</t>
  </si>
  <si>
    <t>005-000-000-597-00-00-19</t>
  </si>
  <si>
    <t>001-000-100-554-90-00-00</t>
  </si>
  <si>
    <t>Pioneer Pathways</t>
  </si>
  <si>
    <t>001-000-016-594-76-64-07</t>
  </si>
  <si>
    <t>Star Park Restroom Design</t>
  </si>
  <si>
    <t>001-000-016-594-76-64-05</t>
  </si>
  <si>
    <t>Pioneer Pathways COF Labor</t>
  </si>
  <si>
    <t>001-000-016-594-76-10-01</t>
  </si>
  <si>
    <t>Propane-Pioneer Park</t>
  </si>
  <si>
    <t>001-000-016-576-80-47-03</t>
  </si>
  <si>
    <t>                    Total Unit</t>
  </si>
  <si>
    <t>                    Unit</t>
  </si>
  <si>
    <t>001-000-015-544-20-21-14</t>
  </si>
  <si>
    <t>001-000-015-544-20-21-13</t>
  </si>
  <si>
    <t>001-000-015-544-20-21-12</t>
  </si>
  <si>
    <t>001-000-015-544-20-10-10</t>
  </si>
  <si>
    <t>Use Tax - Invoices W/O Sales Tax</t>
  </si>
  <si>
    <t>001-000-006-518-90-53-00</t>
  </si>
  <si>
    <t>Whatcom ReStart CARES Act</t>
  </si>
  <si>
    <t>001-000-006-518-90-49-21</t>
  </si>
  <si>
    <t xml:space="preserve">SS/Medicare/Retirement Employee Payments To COF (Start 2014 ) </t>
  </si>
  <si>
    <t>001-000-003-513-10-21-09</t>
  </si>
  <si>
    <t>                    Total Sub-Unit</t>
  </si>
  <si>
    <t>                    Sub-Unit</t>
  </si>
  <si>
    <t>Benefits-Judge Social Security</t>
  </si>
  <si>
    <t>001-000-002-512-50-21-05</t>
  </si>
  <si>
    <t>2022</t>
  </si>
  <si>
    <t>2021</t>
  </si>
  <si>
    <t>2020</t>
  </si>
  <si>
    <t>2019</t>
  </si>
  <si>
    <t>Starting Account Number: 001-000-000-508-80-00-00 Unreserved Ending Cash
Ending Account Number: 651-000-000-589-40-00-00 Court Activity Exp
Period: 2022</t>
  </si>
  <si>
    <t>Estimated Expenditure - Actual</t>
  </si>
  <si>
    <t>Grand Totals</t>
  </si>
  <si>
    <t>651-000-000-000-00-00-00</t>
  </si>
  <si>
    <t>650-000-000-000-00-00-00</t>
  </si>
  <si>
    <t>550-000-000-000-00-00-00</t>
  </si>
  <si>
    <t>510-000-000-000-00-00-00</t>
  </si>
  <si>
    <t>415-000-000-000-00-00-00</t>
  </si>
  <si>
    <t>414-000-000-000-00-00-00</t>
  </si>
  <si>
    <t>413-000-000-000-00-00-00</t>
  </si>
  <si>
    <t>409-000-000-000-00-00-00</t>
  </si>
  <si>
    <t>408-000-000-000-00-00-00</t>
  </si>
  <si>
    <t>407-000-000-000-00-00-00</t>
  </si>
  <si>
    <t>404-000-000-000-00-00-00</t>
  </si>
  <si>
    <t>403-000-000-000-00-00-00</t>
  </si>
  <si>
    <t>402-000-000-000-00-00-00</t>
  </si>
  <si>
    <t>401-000-000-000-00-00-00</t>
  </si>
  <si>
    <t>370-000-000-000-00-00-00</t>
  </si>
  <si>
    <t>310-000-000-000-00-00-00</t>
  </si>
  <si>
    <t>302-000-000-000-00-00-00</t>
  </si>
  <si>
    <t>301-000-000-000-00-00-00</t>
  </si>
  <si>
    <t>220-000-000-000-00-00-00</t>
  </si>
  <si>
    <t>219-000-000-000-00-00-00</t>
  </si>
  <si>
    <t>218-000-000-000-00-00-00</t>
  </si>
  <si>
    <t>217-000-000-000-00-00-00</t>
  </si>
  <si>
    <t>216-000-000-000-00-00-00</t>
  </si>
  <si>
    <t>215-000-000-000-00-00-00</t>
  </si>
  <si>
    <t>214-000-000-000-00-00-00</t>
  </si>
  <si>
    <t>198-000-000-000-00-00-00</t>
  </si>
  <si>
    <t>115-000-000-000-00-00-00</t>
  </si>
  <si>
    <t>114-000-000-000-00-00-00</t>
  </si>
  <si>
    <t>113-000-000-000-00-00-00</t>
  </si>
  <si>
    <t>107-000-000-000-00-00-00</t>
  </si>
  <si>
    <t>106-000-000-000-00-00-00</t>
  </si>
  <si>
    <t>104-000-000-000-00-00-00</t>
  </si>
  <si>
    <t>102-000-000-000-00-00-00</t>
  </si>
  <si>
    <t>101-000-000-000-00-00-00</t>
  </si>
  <si>
    <t>007-000-000-000-00-00-00</t>
  </si>
  <si>
    <t>005-000-000-000-00-00-00</t>
  </si>
  <si>
    <t>004-000-000-000-00-00-00</t>
  </si>
  <si>
    <t>003-000-000-000-00-00-00</t>
  </si>
  <si>
    <t>002-000-000-000-00-00-00</t>
  </si>
  <si>
    <t>001-000-000-000-00-00-00</t>
  </si>
  <si>
    <t>Fund Number</t>
  </si>
  <si>
    <t>Totals By Fund</t>
  </si>
  <si>
    <t>550-000-000-365-20-00-00</t>
  </si>
  <si>
    <t>Donations - Cargill</t>
  </si>
  <si>
    <t>407-000-000-367-11-00-01</t>
  </si>
  <si>
    <t>407-000-000-343-83-90-01</t>
  </si>
  <si>
    <t>Latecomers Fee - Malloy Village</t>
  </si>
  <si>
    <t>402-000-000-389-00-00-05</t>
  </si>
  <si>
    <t xml:space="preserve">Latecomers Agreements - Sanders 2013 WA/Vista Ext. </t>
  </si>
  <si>
    <t>402-000-000-389-00-00-04</t>
  </si>
  <si>
    <t>Developer Agreements - Malloy Project/Friberg 2016</t>
  </si>
  <si>
    <t>402-000-000-368-10-00-02</t>
  </si>
  <si>
    <t>Developer Agreements</t>
  </si>
  <si>
    <t>402-000-000-368-10-00-01</t>
  </si>
  <si>
    <t>401-000-000-389-00-00-14</t>
  </si>
  <si>
    <t>Latecomers Rural &amp; Sunset Schnackenberg</t>
  </si>
  <si>
    <t>401-000-000-389-00-00-13</t>
  </si>
  <si>
    <t>Latecomers Summitview Assoc</t>
  </si>
  <si>
    <t>401-000-000-389-00-00-12</t>
  </si>
  <si>
    <t>Latecomers Fees-Haggen/fern ST</t>
  </si>
  <si>
    <t>401-000-000-389-00-00-11</t>
  </si>
  <si>
    <t>Transfer in from 407 Storm</t>
  </si>
  <si>
    <t>347-000-000-397-00-00-01</t>
  </si>
  <si>
    <t>Transfer In From Traffic Mitigation 104</t>
  </si>
  <si>
    <t>347-000-000-397-00-00-00</t>
  </si>
  <si>
    <t>347-000-000-361-11-00-00</t>
  </si>
  <si>
    <t>346-000-000-334-03-80-01</t>
  </si>
  <si>
    <t>Fed Ind Grant - CFDA 20.205</t>
  </si>
  <si>
    <t>346-000-000-333-20-20-01</t>
  </si>
  <si>
    <t>Donations - Star Park</t>
  </si>
  <si>
    <t>309-000-000-367-19-00-08</t>
  </si>
  <si>
    <t>            Total Special Assessment - Capital</t>
  </si>
  <si>
    <t>            Special Assessment - Capital</t>
  </si>
  <si>
    <t>            Total Interest and Penalties on Special Assessments</t>
  </si>
  <si>
    <t>              Total Penalties</t>
  </si>
  <si>
    <t>              Penalties</t>
  </si>
  <si>
    <t>            Interest and Penalties on Special Assessments</t>
  </si>
  <si>
    <t>            Total Element</t>
  </si>
  <si>
    <t>            Element</t>
  </si>
  <si>
    <t>          Total Detail</t>
  </si>
  <si>
    <t>          Total Sub-Unit</t>
  </si>
  <si>
    <t>          Total Element</t>
  </si>
  <si>
    <t>          Total Unit</t>
  </si>
  <si>
    <t>TR from Main &amp; LaBounty Const F347</t>
  </si>
  <si>
    <t>104-000-000-397-00-00-07</t>
  </si>
  <si>
    <t>          Detail</t>
  </si>
  <si>
    <t>          Element</t>
  </si>
  <si>
    <t>          Unit</t>
  </si>
  <si>
    <t>          Sub-Unit</t>
  </si>
  <si>
    <t>          Total Interlocal Grants, Entitlements, Payments, and Tax</t>
  </si>
  <si>
    <t>            Total Other</t>
  </si>
  <si>
    <t>            Total Business and Occupation Taxes on Private Utilites</t>
  </si>
  <si>
    <t>            Business and Occupation Taxes on Private Utilites</t>
  </si>
  <si>
    <t>      Total Revenue - Fines and Penalties</t>
  </si>
  <si>
    <t>001-000-006-389-99-08-00</t>
  </si>
  <si>
    <t>001-000-006-386-83-33-01</t>
  </si>
  <si>
    <t>      Total Revenue - Charges for Goods and Services</t>
  </si>
  <si>
    <t>      Revenue - Charges for Goods and Services</t>
  </si>
  <si>
    <t>Demolition Permit</t>
  </si>
  <si>
    <t>001-000-003-322-10-00-00</t>
  </si>
  <si>
    <t>Cell Tower Rental</t>
  </si>
  <si>
    <t>001-000-003-321-99-00-05</t>
  </si>
  <si>
    <t>Franchise Fees - WAVE DIV HOLDINGS QTRLY 1/5/8/11</t>
  </si>
  <si>
    <t>001-000-003-321-91-00-04</t>
  </si>
  <si>
    <t>Starting Account Number: 001-000-000-308-80-00-00 Unreserved Beginning Cash
Ending Account Number: 651-000-000-389-40-00-00 Court Activity Deposits
Period: 2022</t>
  </si>
  <si>
    <t>Estimated Revenue - Actual</t>
  </si>
  <si>
    <t>405-000-000-000-00-00-00</t>
  </si>
  <si>
    <t>Finance Consulting</t>
  </si>
  <si>
    <t>Federal lobbyist</t>
  </si>
  <si>
    <t>Ferndale TV</t>
  </si>
  <si>
    <t>Parks equipment</t>
  </si>
  <si>
    <t>FB/Online</t>
  </si>
  <si>
    <t>Includes Additional Officer</t>
  </si>
  <si>
    <t>Add New Vehicle? $1300/mo</t>
  </si>
  <si>
    <t>Updated numbers</t>
  </si>
  <si>
    <t>One time equipment purchase, ammo</t>
  </si>
  <si>
    <t>Radio tower repair - est $175k</t>
  </si>
  <si>
    <t>$250k est new radio system - 1.5 year?</t>
  </si>
  <si>
    <t>Maintenance for radio</t>
  </si>
  <si>
    <t>per rate study</t>
  </si>
  <si>
    <t>UB Online Billing</t>
  </si>
  <si>
    <t>Per Rate Study</t>
  </si>
  <si>
    <t>Fiestas Patrias</t>
  </si>
  <si>
    <t>NEW</t>
  </si>
  <si>
    <t>$2k for DEI</t>
  </si>
  <si>
    <t>Academy Expenses, 3 officers</t>
  </si>
  <si>
    <t>R&amp;M Contract</t>
  </si>
  <si>
    <t>ask riley</t>
  </si>
  <si>
    <t>KR to get amount</t>
  </si>
  <si>
    <t>TIB Grant - Thornton</t>
  </si>
  <si>
    <t>Adjust as needed</t>
  </si>
  <si>
    <t>could be funded from REET2 or TBD?</t>
  </si>
  <si>
    <t>Verify after bid tab is complete</t>
  </si>
  <si>
    <t>$10k extra for crack seal supplies</t>
  </si>
  <si>
    <t>Done</t>
  </si>
  <si>
    <t>updated</t>
  </si>
  <si>
    <t>adjust as needed</t>
  </si>
  <si>
    <t>KR to provide</t>
  </si>
  <si>
    <t>line of credit</t>
  </si>
  <si>
    <t>Update when rate studies are complete</t>
  </si>
  <si>
    <t>MC projection on housing units</t>
  </si>
  <si>
    <t>Check debt from rate study</t>
  </si>
  <si>
    <t>Needed once plant upgrades come online</t>
  </si>
  <si>
    <t>Includes controller replacement as part of generator service</t>
  </si>
  <si>
    <t xml:space="preserve">Fall protection </t>
  </si>
  <si>
    <t>Update in later budget cycle</t>
  </si>
  <si>
    <t>Rate Study</t>
  </si>
  <si>
    <t xml:space="preserve">Boom lift for basin access </t>
  </si>
  <si>
    <t>2W - 3W Plant water system omit SO2</t>
  </si>
  <si>
    <t>Rate study</t>
  </si>
  <si>
    <t>Vista - Malloy Grant Revenue?</t>
  </si>
  <si>
    <t>Transfer in some of 4.1m above streets -  new line</t>
  </si>
  <si>
    <t>debt schedule from rate study?</t>
  </si>
  <si>
    <t>done</t>
  </si>
  <si>
    <t>Additional Training</t>
  </si>
  <si>
    <t>Lobbyist</t>
  </si>
  <si>
    <t>Gate controller and refurbish Public Works?</t>
  </si>
  <si>
    <t>Find Riley's email</t>
  </si>
  <si>
    <t>405-</t>
  </si>
  <si>
    <t>         Total  Interest And Other Debt Service Costs</t>
  </si>
  <si>
    <t>Total WWTP Debt</t>
  </si>
  <si>
    <t>WWTP Upgrade Construction Loan Principal Sewer</t>
  </si>
  <si>
    <t>WWTP Upgrade Construction Loan Interest Sewer</t>
  </si>
  <si>
    <t>Fund Balance Report</t>
  </si>
  <si>
    <t>Fund Name</t>
  </si>
  <si>
    <t>Cash</t>
  </si>
  <si>
    <t>2021 Ending Balance</t>
  </si>
  <si>
    <t>2022 Revenue Budget</t>
  </si>
  <si>
    <t>2022 Expense Budget</t>
  </si>
  <si>
    <t>2022 Estimated Ending Fund Balance</t>
  </si>
  <si>
    <t>2023 Projected Revenue</t>
  </si>
  <si>
    <t>2023 Projected Expenses</t>
  </si>
  <si>
    <t>2023 Estimated Ending Balances</t>
  </si>
  <si>
    <t>General Fund</t>
  </si>
  <si>
    <t>Current Expense</t>
  </si>
  <si>
    <t>001</t>
  </si>
  <si>
    <t>002</t>
  </si>
  <si>
    <t>003</t>
  </si>
  <si>
    <t>004</t>
  </si>
  <si>
    <t>005</t>
  </si>
  <si>
    <t>007</t>
  </si>
  <si>
    <t>101</t>
  </si>
  <si>
    <t>102</t>
  </si>
  <si>
    <t>104</t>
  </si>
  <si>
    <t>106</t>
  </si>
  <si>
    <t>107</t>
  </si>
  <si>
    <t>113</t>
  </si>
  <si>
    <t>114</t>
  </si>
  <si>
    <t>115</t>
  </si>
  <si>
    <t>198</t>
  </si>
  <si>
    <t>214</t>
  </si>
  <si>
    <t>215</t>
  </si>
  <si>
    <t>216</t>
  </si>
  <si>
    <t>217</t>
  </si>
  <si>
    <t>218</t>
  </si>
  <si>
    <t>219</t>
  </si>
  <si>
    <t>220</t>
  </si>
  <si>
    <t>301</t>
  </si>
  <si>
    <t>302</t>
  </si>
  <si>
    <t>310</t>
  </si>
  <si>
    <t>370</t>
  </si>
  <si>
    <t>401</t>
  </si>
  <si>
    <t>402</t>
  </si>
  <si>
    <t>403</t>
  </si>
  <si>
    <t>405</t>
  </si>
  <si>
    <t>404</t>
  </si>
  <si>
    <t>000</t>
  </si>
  <si>
    <t>407</t>
  </si>
  <si>
    <t>408</t>
  </si>
  <si>
    <t>409</t>
  </si>
  <si>
    <t>413</t>
  </si>
  <si>
    <t>414</t>
  </si>
  <si>
    <t>415</t>
  </si>
  <si>
    <t>510</t>
  </si>
  <si>
    <t>550</t>
  </si>
  <si>
    <t>650</t>
  </si>
  <si>
    <t>651</t>
  </si>
  <si>
    <t>2021 Revenue</t>
  </si>
  <si>
    <t>2021 Expense</t>
  </si>
  <si>
    <t>Computer Repair and Replacement Transfers for 2023 Budget</t>
  </si>
  <si>
    <t>Finance&gt;ComputerRentalFund&gt;Expenditure Analysis Computer Rental</t>
  </si>
  <si>
    <t>BARS</t>
  </si>
  <si>
    <t>Total</t>
  </si>
  <si>
    <t>Storm Flood Administration</t>
  </si>
  <si>
    <t>Sewer Administration</t>
  </si>
  <si>
    <t>Water Administration</t>
  </si>
  <si>
    <t>Streets Administration</t>
  </si>
  <si>
    <t>GF Planning and Community</t>
  </si>
  <si>
    <t>GF Parks</t>
  </si>
  <si>
    <t>GF Infrastructure</t>
  </si>
  <si>
    <t>GF Inspections, Permits</t>
  </si>
  <si>
    <t>GF Probation and Parole</t>
  </si>
  <si>
    <t>GF Law Enforcement Traffic</t>
  </si>
  <si>
    <t>GF General Government</t>
  </si>
  <si>
    <t>GF Financial Records</t>
  </si>
  <si>
    <t>GF Admin Services</t>
  </si>
  <si>
    <t>GF Executive</t>
  </si>
  <si>
    <t>GF Municipal Court</t>
  </si>
  <si>
    <t>GF Legislative</t>
  </si>
  <si>
    <t>Finance&gt;ComputerRentalFund&gt;Expenditure Analysis Equipment Rental</t>
  </si>
  <si>
    <t>Equipment Repair and Replacement Transfers for 2023 Budget</t>
  </si>
  <si>
    <t xml:space="preserve">Storm &amp; Flood </t>
  </si>
  <si>
    <t>GF City Hall</t>
  </si>
  <si>
    <t>TR to F510 Budgeting Software</t>
  </si>
  <si>
    <t>GF City Hall/Annex/Library</t>
  </si>
  <si>
    <t>Equpment</t>
  </si>
  <si>
    <t>Storm and Flood</t>
  </si>
  <si>
    <t>Sewer Operations</t>
  </si>
  <si>
    <t>Sewer Adminstration</t>
  </si>
  <si>
    <t>Water Operations</t>
  </si>
  <si>
    <t>Roadway Maintenance</t>
  </si>
  <si>
    <t>Streets Administraton</t>
  </si>
  <si>
    <t>GF Communications</t>
  </si>
  <si>
    <t>Equipment</t>
  </si>
  <si>
    <t>Cap Expenditures Admin</t>
  </si>
  <si>
    <t>Central Service Transfers for 2023 Budget</t>
  </si>
  <si>
    <t>2022 Projected</t>
  </si>
  <si>
    <t>2022 Projection</t>
  </si>
  <si>
    <t>Final Payment</t>
  </si>
  <si>
    <t>Expecting Grant in 2023</t>
  </si>
  <si>
    <t>405-NEW BARS</t>
  </si>
  <si>
    <t>New BARS</t>
  </si>
  <si>
    <t>EAC Support</t>
  </si>
  <si>
    <t>NEW Bars</t>
  </si>
  <si>
    <t>EDI Grant</t>
  </si>
  <si>
    <t>EDI Loan</t>
  </si>
  <si>
    <t>EDI Grant Church Road Booster Station</t>
  </si>
  <si>
    <t>n/a</t>
  </si>
  <si>
    <t>add later</t>
  </si>
  <si>
    <t>See 113 Crack Sealing Above</t>
  </si>
  <si>
    <t>FROM</t>
  </si>
  <si>
    <t>AMOUNT</t>
  </si>
  <si>
    <t>TO</t>
  </si>
  <si>
    <t>Fund Transfers for 2023 Budget</t>
  </si>
  <si>
    <t>New</t>
  </si>
  <si>
    <t>TR to F550 Replace T-30</t>
  </si>
  <si>
    <t>TR to F550 Replace Mower S-41</t>
  </si>
  <si>
    <t>TR to F550 Replace JD Gator Parks S-46</t>
  </si>
  <si>
    <t>TR to F550 Replace Mower S-52</t>
  </si>
  <si>
    <t xml:space="preserve">TR to F550 Button Tar Machine </t>
  </si>
  <si>
    <t>Replace T-30</t>
  </si>
  <si>
    <t>Replace S-41</t>
  </si>
  <si>
    <t>Replace S-46</t>
  </si>
  <si>
    <t>Replace S-52</t>
  </si>
  <si>
    <t>Button Tar Machine</t>
  </si>
  <si>
    <t>TR to F550 Replace Dump Truck  T-1</t>
  </si>
  <si>
    <t>TR to F550 Replace Truck T-17</t>
  </si>
  <si>
    <t>TR to F550 Replace Truck T-21</t>
  </si>
  <si>
    <t>TR to F550 Replace Forklift S-15</t>
  </si>
  <si>
    <t>Replace T-17</t>
  </si>
  <si>
    <t>Replace T-21</t>
  </si>
  <si>
    <t>Replace S-15</t>
  </si>
  <si>
    <t>Replace T-1</t>
  </si>
  <si>
    <t>TR IN From F407 (Storm)</t>
  </si>
  <si>
    <t>TR IN From F402 (Sewer)</t>
  </si>
  <si>
    <t>TR IN From F401 (Water)</t>
  </si>
  <si>
    <t>TR IN From F101 (Street)</t>
  </si>
  <si>
    <t>S Surplus</t>
  </si>
  <si>
    <t>T Surplus</t>
  </si>
  <si>
    <t xml:space="preserve">Facilities, Flags, Lights, Cabins, Etc. </t>
  </si>
  <si>
    <t xml:space="preserve">PW Utility Maint. </t>
  </si>
  <si>
    <t>Add 80 Foot Boom Lift</t>
  </si>
  <si>
    <t xml:space="preserve">Water Leak Patches Etc. </t>
  </si>
  <si>
    <t>PW Roadway Maint</t>
  </si>
  <si>
    <t xml:space="preserve">Button Tar Machine </t>
  </si>
  <si>
    <t xml:space="preserve"> </t>
  </si>
  <si>
    <t xml:space="preserve">Additional 2 trucks </t>
  </si>
  <si>
    <t xml:space="preserve">Add Tack Machine Roadway </t>
  </si>
  <si>
    <t xml:space="preserve">Field Prep, Park Maint. </t>
  </si>
  <si>
    <t>Gator Grooming Unit</t>
  </si>
  <si>
    <t>S-72</t>
  </si>
  <si>
    <t>2019 JD Gator HPX815E Field Groomer Unit</t>
  </si>
  <si>
    <t xml:space="preserve">P-66, Pioneer Fields. </t>
  </si>
  <si>
    <t>Gator Attatchment for Field Prep</t>
  </si>
  <si>
    <t>S-71</t>
  </si>
  <si>
    <t>2020 Rascal MVP Field Groomer</t>
  </si>
  <si>
    <t>Parks/Facilities Mowing</t>
  </si>
  <si>
    <t xml:space="preserve">Zero Turn Mower </t>
  </si>
  <si>
    <t>S-70</t>
  </si>
  <si>
    <t>2020 Laser ZXP 72” Mower</t>
  </si>
  <si>
    <t>Sidewalks, Street, Parks, Facility</t>
  </si>
  <si>
    <t>Gator Attatchment for Spraying</t>
  </si>
  <si>
    <t>S-69</t>
  </si>
  <si>
    <t>2020 Enduraplas Sprayer</t>
  </si>
  <si>
    <t>Field Mowing, Landscape, Etc</t>
  </si>
  <si>
    <t>Parks Maint.</t>
  </si>
  <si>
    <t>S-68</t>
  </si>
  <si>
    <t>2020 JD 4052 Tractor</t>
  </si>
  <si>
    <t xml:space="preserve">Trash, Ball Fields, Etc. </t>
  </si>
  <si>
    <t xml:space="preserve">Parks Utility </t>
  </si>
  <si>
    <t>S-67</t>
  </si>
  <si>
    <t>2019 JD Gator XUV865R</t>
  </si>
  <si>
    <t xml:space="preserve">S-66 </t>
  </si>
  <si>
    <t>2018 ExMark Lazer XP 72 in Mower</t>
  </si>
  <si>
    <t>Sander Unit</t>
  </si>
  <si>
    <t xml:space="preserve">PW Snow </t>
  </si>
  <si>
    <t>S-65</t>
  </si>
  <si>
    <t>2017 Monroe sander T38</t>
  </si>
  <si>
    <t>Snow Plow</t>
  </si>
  <si>
    <t>S-64</t>
  </si>
  <si>
    <t>2017 Monroe snow plow T2</t>
  </si>
  <si>
    <t>S-63</t>
  </si>
  <si>
    <t>2017 Monroe snow plow T38</t>
  </si>
  <si>
    <t>S-62</t>
  </si>
  <si>
    <t>2017 Boss snow plow-T-34</t>
  </si>
  <si>
    <t>Pond, Park, ROW, Easement Mowing.</t>
  </si>
  <si>
    <t>Attatchemnt for Skid Steer</t>
  </si>
  <si>
    <t>S-61</t>
  </si>
  <si>
    <t>2016 Quick Attach brush buster Skid Steer</t>
  </si>
  <si>
    <t>Saw Cut for Utility Repairs</t>
  </si>
  <si>
    <t>S-60</t>
  </si>
  <si>
    <t>2016 Husqvarna FS 520 Walk Behind Saw</t>
  </si>
  <si>
    <t xml:space="preserve">Pond, Park, ROW, Easement Maint. </t>
  </si>
  <si>
    <t xml:space="preserve">PW/Parks Maint. </t>
  </si>
  <si>
    <t>S-59</t>
  </si>
  <si>
    <t>2014 John Deere Skid Steer</t>
  </si>
  <si>
    <t>Asphalt Grinding for Paving Prep</t>
  </si>
  <si>
    <t>S-58</t>
  </si>
  <si>
    <t>2015 Quick Attach Planer Skid Steer</t>
  </si>
  <si>
    <t>Water Reservoir Back up Power</t>
  </si>
  <si>
    <t xml:space="preserve">WTP, Thornton Water Tank </t>
  </si>
  <si>
    <t>S-57</t>
  </si>
  <si>
    <t>2012 Cat Gen Set</t>
  </si>
  <si>
    <t>Sewer PS Backup Power</t>
  </si>
  <si>
    <t xml:space="preserve">PW Sewer Maint. </t>
  </si>
  <si>
    <t>S-56</t>
  </si>
  <si>
    <t>2011 Mil Gen Set (HX64227) 65K</t>
  </si>
  <si>
    <t>S-55</t>
  </si>
  <si>
    <t>2011 Mil. Gen Set (HX64224) 65K</t>
  </si>
  <si>
    <t>Bypass Headworks</t>
  </si>
  <si>
    <t xml:space="preserve">WWTP Maint. </t>
  </si>
  <si>
    <t>S-54</t>
  </si>
  <si>
    <t>2014 Power Prime pump</t>
  </si>
  <si>
    <t>Hauling Mower off Site</t>
  </si>
  <si>
    <t>Park Utiltiy Trailer</t>
  </si>
  <si>
    <t>S-53</t>
  </si>
  <si>
    <t>2014 Felling Trailer</t>
  </si>
  <si>
    <t>Parks and Facilities</t>
  </si>
  <si>
    <t xml:space="preserve">S-52 </t>
  </si>
  <si>
    <t xml:space="preserve">2014 JD 997 Zero Turn Mower </t>
  </si>
  <si>
    <t>Mowing ROW, Ponds, Parks</t>
  </si>
  <si>
    <t xml:space="preserve">Excavator Attatchment </t>
  </si>
  <si>
    <t>S-51</t>
  </si>
  <si>
    <t>2013 US Mower Excavator</t>
  </si>
  <si>
    <t>Park Rough Mowing</t>
  </si>
  <si>
    <t>Tractor Attatchment Mower</t>
  </si>
  <si>
    <t>S-50</t>
  </si>
  <si>
    <t>2001 JD brushhog 48in</t>
  </si>
  <si>
    <t>PW Maint. Mounted on Trailer</t>
  </si>
  <si>
    <t>S-49</t>
  </si>
  <si>
    <t>2005 Olympian gen set (yellow)</t>
  </si>
  <si>
    <t>Ponds, ROW Mow, Water Leaks</t>
  </si>
  <si>
    <t xml:space="preserve">PW Maint. </t>
  </si>
  <si>
    <t>S-48</t>
  </si>
  <si>
    <t>2011 Kubota 080 Excavator</t>
  </si>
  <si>
    <t xml:space="preserve">Park Mowing, Tilling. </t>
  </si>
  <si>
    <t>Multi Purpose Small Equipment</t>
  </si>
  <si>
    <t xml:space="preserve">S-47 </t>
  </si>
  <si>
    <t xml:space="preserve">BCS Versatile Mower/Tiller/etc. </t>
  </si>
  <si>
    <t xml:space="preserve">Park Maint. </t>
  </si>
  <si>
    <t>S-46</t>
  </si>
  <si>
    <t xml:space="preserve">2010 JD Gator Parks (right side operation) </t>
  </si>
  <si>
    <t>Shoulder, Trail, Gravel Grading</t>
  </si>
  <si>
    <t>To PW from Parks 2020</t>
  </si>
  <si>
    <t>S-44</t>
  </si>
  <si>
    <t>2008 JD 3720 Tractor, 300X loader Parks</t>
  </si>
  <si>
    <t>WTP/WWTP</t>
  </si>
  <si>
    <t xml:space="preserve">Rear Wheel Steer Mower </t>
  </si>
  <si>
    <t>S-43</t>
  </si>
  <si>
    <t>2008 John Deere 1445 mower</t>
  </si>
  <si>
    <t>Facilities, RA's, Small Park Area Mowing</t>
  </si>
  <si>
    <t>Walk Behind/Stand On Mower</t>
  </si>
  <si>
    <t>S-41</t>
  </si>
  <si>
    <t xml:space="preserve">Exmark Turf Tracer mower (stand on) </t>
  </si>
  <si>
    <t>Park Mower</t>
  </si>
  <si>
    <t>Surplus 2020</t>
  </si>
  <si>
    <t>S-40</t>
  </si>
  <si>
    <t>Lazer ZXP  Mower</t>
  </si>
  <si>
    <t>Street Sweeping on PW Projects</t>
  </si>
  <si>
    <t>Broom Attatchemnt for Backhoe</t>
  </si>
  <si>
    <t>S-39</t>
  </si>
  <si>
    <t>JRB Power  broom</t>
  </si>
  <si>
    <t>1998 JD, 3 wheeled groomer</t>
  </si>
  <si>
    <t>Off Site Power for Tools</t>
  </si>
  <si>
    <t xml:space="preserve">PW Utiltiy Maint. </t>
  </si>
  <si>
    <t>S-38</t>
  </si>
  <si>
    <t>Honda 6500 Gen Set</t>
  </si>
  <si>
    <t>Trench Shoring Material</t>
  </si>
  <si>
    <t>S-36</t>
  </si>
  <si>
    <t>1996 Modern 2 Axle Trailer</t>
  </si>
  <si>
    <t>Park Fields</t>
  </si>
  <si>
    <t>3 pt. Attatchment for Tractors</t>
  </si>
  <si>
    <t>S-35</t>
  </si>
  <si>
    <t>Post hole Auger EM5000</t>
  </si>
  <si>
    <t>Parks Field Mowing</t>
  </si>
  <si>
    <t>Tow Behind Mower</t>
  </si>
  <si>
    <t xml:space="preserve">       S-33</t>
  </si>
  <si>
    <t xml:space="preserve">2013 Frontier Mower </t>
  </si>
  <si>
    <t>Parks Mowing off Site</t>
  </si>
  <si>
    <t>Park Utility Trailer</t>
  </si>
  <si>
    <t>S-32</t>
  </si>
  <si>
    <t>1993 Towmaster Utility Trailer</t>
  </si>
  <si>
    <t>Ball Field Compaction</t>
  </si>
  <si>
    <t>Park Maint. Will get Dynapak from PW</t>
  </si>
  <si>
    <t>S-31</t>
  </si>
  <si>
    <t>1995 Wacker 880V roller (Park)</t>
  </si>
  <si>
    <t>S-29</t>
  </si>
  <si>
    <t>Woods 9180RD mower</t>
  </si>
  <si>
    <t>Branch and Small Tree Grinding</t>
  </si>
  <si>
    <t xml:space="preserve">PW and FSD Purchase </t>
  </si>
  <si>
    <t>S-28</t>
  </si>
  <si>
    <t>2002 Bandit Chipper</t>
  </si>
  <si>
    <t xml:space="preserve">Road Paving, Path Maint., Field Maint. </t>
  </si>
  <si>
    <t>S-27</t>
  </si>
  <si>
    <t xml:space="preserve">1998 Dyna pak Roller (Paving) </t>
  </si>
  <si>
    <t>Possibly WCPW Surplus Unit Available</t>
  </si>
  <si>
    <t>Replace w/ larger and newer</t>
  </si>
  <si>
    <t>90's</t>
  </si>
  <si>
    <t>S-23</t>
  </si>
  <si>
    <t>1982 John Deere 544c loader</t>
  </si>
  <si>
    <t>Asphalt Paving</t>
  </si>
  <si>
    <t>Purchased Used WCPW Pre 1999</t>
  </si>
  <si>
    <t>S-22</t>
  </si>
  <si>
    <t>Layton Paver</t>
  </si>
  <si>
    <t>Mow Road Side, ROW,and Ditches</t>
  </si>
  <si>
    <t>Replaced 2021</t>
  </si>
  <si>
    <t>S-21A</t>
  </si>
  <si>
    <t>2012 Alamo Versa mower</t>
  </si>
  <si>
    <t>S-21</t>
  </si>
  <si>
    <t>2008 John Deere S420 Tractor ROW Mower</t>
  </si>
  <si>
    <t>Road Grading, Park Fields</t>
  </si>
  <si>
    <t>Purchased Used</t>
  </si>
  <si>
    <t>S-19</t>
  </si>
  <si>
    <t>1988 John Deere 450 Dozer</t>
  </si>
  <si>
    <t>T-2 Sander Unit</t>
  </si>
  <si>
    <t>S-17</t>
  </si>
  <si>
    <t>Henderson Spreader T/2</t>
  </si>
  <si>
    <t>PW Shop Yard, flags, cabins</t>
  </si>
  <si>
    <t xml:space="preserve">Purchased Used from Rental Co. </t>
  </si>
  <si>
    <t>S-15</t>
  </si>
  <si>
    <t>2000 Komatsu forklift</t>
  </si>
  <si>
    <t xml:space="preserve">WTP/WWTP </t>
  </si>
  <si>
    <t>Purchased for PW 2000</t>
  </si>
  <si>
    <t>S-14</t>
  </si>
  <si>
    <t>1997 Komatsu forklift</t>
  </si>
  <si>
    <t xml:space="preserve">Park Utility, Will not Replace </t>
  </si>
  <si>
    <t>Made</t>
  </si>
  <si>
    <t>S-11</t>
  </si>
  <si>
    <t>Tilt mower trailer yellow</t>
  </si>
  <si>
    <t>Surplus with T-10 2020</t>
  </si>
  <si>
    <t>S-9</t>
  </si>
  <si>
    <t>Swenson Snow plow T-10</t>
  </si>
  <si>
    <t>Sanding Ice, Snow</t>
  </si>
  <si>
    <t>S-8</t>
  </si>
  <si>
    <t>Swenson spreader (sander) T-10</t>
  </si>
  <si>
    <t>Road Grading and Shoulder Grading</t>
  </si>
  <si>
    <t>Purchased Used Replace with Other</t>
  </si>
  <si>
    <t>old</t>
  </si>
  <si>
    <t>S-7</t>
  </si>
  <si>
    <t>1965 John Deere 570A grader</t>
  </si>
  <si>
    <t>Small Equipment Haul off Site</t>
  </si>
  <si>
    <t xml:space="preserve">PW/Parks Utility Maint. </t>
  </si>
  <si>
    <t>S-6</t>
  </si>
  <si>
    <t>2006 PJ Car/Equipment Trailer</t>
  </si>
  <si>
    <t>Ingersol Rand Air Comp 1982</t>
  </si>
  <si>
    <t>S-4</t>
  </si>
  <si>
    <t xml:space="preserve">1993 Onan Gen Set (green) </t>
  </si>
  <si>
    <t xml:space="preserve">Road/Shoulder Grading. </t>
  </si>
  <si>
    <t>PW Utility Maint. Surplus 2020</t>
  </si>
  <si>
    <t xml:space="preserve">        S-3</t>
  </si>
  <si>
    <t>1993 JD 970 Tractor</t>
  </si>
  <si>
    <t>Utiltiy Maint. Night Work</t>
  </si>
  <si>
    <t>Purchased Rent to Own for Vista RA</t>
  </si>
  <si>
    <t>S-2</t>
  </si>
  <si>
    <t>2004 Genie Light Plant</t>
  </si>
  <si>
    <t>Equipment Hauling to off Site Locations</t>
  </si>
  <si>
    <t>S-1</t>
  </si>
  <si>
    <t>2002 Trail Max Tilt Deck Trailer</t>
  </si>
  <si>
    <t>Equipment:</t>
  </si>
  <si>
    <t xml:space="preserve">PW Supervisor </t>
  </si>
  <si>
    <t xml:space="preserve">PW </t>
  </si>
  <si>
    <t xml:space="preserve">T-57 </t>
  </si>
  <si>
    <t xml:space="preserve">2021 Ford F-250 EX Cab 4X4 short bed </t>
  </si>
  <si>
    <t xml:space="preserve">Utility Truck with crane </t>
  </si>
  <si>
    <t xml:space="preserve">PW Maint Crew </t>
  </si>
  <si>
    <t>T-56</t>
  </si>
  <si>
    <t xml:space="preserve">2021 Ford F-550 Diesel 4X4 crew cab Utility Truck </t>
  </si>
  <si>
    <t>Fleet Truck for all at shop</t>
  </si>
  <si>
    <t>T-55</t>
  </si>
  <si>
    <t>2021 Ford F-150 EX Cab 4X4 short bed</t>
  </si>
  <si>
    <t>Development Inspect Farrar</t>
  </si>
  <si>
    <t xml:space="preserve">Engineer Services </t>
  </si>
  <si>
    <t>T-54</t>
  </si>
  <si>
    <t>2021 Ford F-150 EX Cab 4X4 short bed canopy</t>
  </si>
  <si>
    <t>Plow/Sander, Haul Const. Material</t>
  </si>
  <si>
    <t xml:space="preserve">Newest Dump Truck in Fleet </t>
  </si>
  <si>
    <t>T-53</t>
  </si>
  <si>
    <t>2020 Kenworth 470 Dump Truck</t>
  </si>
  <si>
    <t>T-52</t>
  </si>
  <si>
    <t>2020 Ford F 550 Dump/Plow</t>
  </si>
  <si>
    <t>Slips/Inspections</t>
  </si>
  <si>
    <t>T-51</t>
  </si>
  <si>
    <t>2020 Chevy 2500 HD</t>
  </si>
  <si>
    <t xml:space="preserve">Pool Truck for Utility Maint. </t>
  </si>
  <si>
    <t>T-50</t>
  </si>
  <si>
    <t>Code Enforcement Officer</t>
  </si>
  <si>
    <t>Police Surplus 2020</t>
  </si>
  <si>
    <t>T-49</t>
  </si>
  <si>
    <t xml:space="preserve">2011 Ford Crown Vic </t>
  </si>
  <si>
    <t>CDD Building Inspector</t>
  </si>
  <si>
    <t>Replaced 2022  w/ Escape Hybrid</t>
  </si>
  <si>
    <t>T-48</t>
  </si>
  <si>
    <t xml:space="preserve">2008 Ford Expidition, 4X4, CDD Inspection </t>
  </si>
  <si>
    <t xml:space="preserve">Street Sweeping </t>
  </si>
  <si>
    <t>Sweeper Unit</t>
  </si>
  <si>
    <t>T-46</t>
  </si>
  <si>
    <t>2019 Schwarze Sweeper, JD 4045 Tier 4, Peterbilt 220</t>
  </si>
  <si>
    <t>PW Foreman</t>
  </si>
  <si>
    <t>PW Maint. Truck</t>
  </si>
  <si>
    <t>T-45</t>
  </si>
  <si>
    <t>2019 Ford F150, 4X4, Ex. Cab, long bed</t>
  </si>
  <si>
    <t>Keep with new Vactor 2028</t>
  </si>
  <si>
    <t>Best Equipment We've Owned</t>
  </si>
  <si>
    <t>T-44</t>
  </si>
  <si>
    <t>2019 Vactor, Kenworth T880</t>
  </si>
  <si>
    <t xml:space="preserve">Sewer PS Maint. and Sewer Maint. </t>
  </si>
  <si>
    <t xml:space="preserve">PW Sewer Utility Truck </t>
  </si>
  <si>
    <t>T-43</t>
  </si>
  <si>
    <t>2018 Dodge 4X4, 1 ton, flat deck</t>
  </si>
  <si>
    <t>WWTP/WTP</t>
  </si>
  <si>
    <t>T-42</t>
  </si>
  <si>
    <t>2018 Dodge 2WD, crew cab</t>
  </si>
  <si>
    <t xml:space="preserve">WTP/WWTP Pool Truck </t>
  </si>
  <si>
    <t>Purchased for WTP/WWTP</t>
  </si>
  <si>
    <t>T-41</t>
  </si>
  <si>
    <t>2018 Dodge 4X4, crew cab</t>
  </si>
  <si>
    <t>Sewer PS Cleaning/Jetting/Dust Control</t>
  </si>
  <si>
    <t>Surplus 2028 for new Vactor</t>
  </si>
  <si>
    <t>T-40</t>
  </si>
  <si>
    <t>1999 International Water/Sewer Jet Truck</t>
  </si>
  <si>
    <t>Court staff pool car</t>
  </si>
  <si>
    <t xml:space="preserve">To Court staff 2021 (Blue) </t>
  </si>
  <si>
    <t>T-39</t>
  </si>
  <si>
    <t>2008 Ford Crown Victoria</t>
  </si>
  <si>
    <t>Purchased Used (COB)</t>
  </si>
  <si>
    <t>T-38</t>
  </si>
  <si>
    <t xml:space="preserve">2004 International Dump Truck </t>
  </si>
  <si>
    <t>PW loaned to Park</t>
  </si>
  <si>
    <t xml:space="preserve">Utility Truck </t>
  </si>
  <si>
    <t>T-37</t>
  </si>
  <si>
    <t>2016 Ford F250</t>
  </si>
  <si>
    <t xml:space="preserve">PW Utility </t>
  </si>
  <si>
    <t>PW Supervisor to crew 2021</t>
  </si>
  <si>
    <t>T-36</t>
  </si>
  <si>
    <t>2016 Ford F250 4x4</t>
  </si>
  <si>
    <t xml:space="preserve">Stormwater Tech. </t>
  </si>
  <si>
    <t xml:space="preserve">Replaced 2022  w/ F-150 (Stephen) </t>
  </si>
  <si>
    <t>T-35</t>
  </si>
  <si>
    <t>2008 Ford Ranger</t>
  </si>
  <si>
    <t xml:space="preserve">PW Utility Repair </t>
  </si>
  <si>
    <t>T-34</t>
  </si>
  <si>
    <t>2017 Ford F550</t>
  </si>
  <si>
    <t>Capital Project Inspector</t>
  </si>
  <si>
    <t>PW Supervisor to Project Inspections</t>
  </si>
  <si>
    <t>T-33</t>
  </si>
  <si>
    <t>2012 Nissan Frontier</t>
  </si>
  <si>
    <t>PW ROW Inspector</t>
  </si>
  <si>
    <t>PW Utility Truck</t>
  </si>
  <si>
    <t>T-32</t>
  </si>
  <si>
    <t>2014 Dodge Ram Pick-up</t>
  </si>
  <si>
    <t xml:space="preserve"> TV inspections of Sewer and Storm </t>
  </si>
  <si>
    <t>Major Upgrade 2021</t>
  </si>
  <si>
    <t>1999</t>
  </si>
  <si>
    <t>T-31</t>
  </si>
  <si>
    <t>1999 GMC 3500 TV</t>
  </si>
  <si>
    <t>Office Pool Car at City Hall</t>
  </si>
  <si>
    <t xml:space="preserve">Admin Car (White) </t>
  </si>
  <si>
    <t>T-30</t>
  </si>
  <si>
    <t>2005 Ford Crown Victoria</t>
  </si>
  <si>
    <t>Project Manager</t>
  </si>
  <si>
    <t>Project Management</t>
  </si>
  <si>
    <t>T-28</t>
  </si>
  <si>
    <t>2015 Ford Escape 4x2</t>
  </si>
  <si>
    <t>Utiltiy Superintendent</t>
  </si>
  <si>
    <t xml:space="preserve">WWTP/WTP </t>
  </si>
  <si>
    <t>T-24</t>
  </si>
  <si>
    <t>T-23</t>
  </si>
  <si>
    <t>2008 Toyota Tacoma Pick-up</t>
  </si>
  <si>
    <t>Pool Truck Until Winter</t>
  </si>
  <si>
    <t>Stolen Replace 2023</t>
  </si>
  <si>
    <t>T-21</t>
  </si>
  <si>
    <t>2005 Chevrolet 1500 4X4</t>
  </si>
  <si>
    <t>Permit Inspections and Locates</t>
  </si>
  <si>
    <t>Replaces 2022 w/ F-150 (PW)</t>
  </si>
  <si>
    <t>T-20</t>
  </si>
  <si>
    <t>2016 Chevrolet Colorado</t>
  </si>
  <si>
    <t>CDD gift from PW</t>
  </si>
  <si>
    <t>T-19</t>
  </si>
  <si>
    <t>2015 Ford Escape 4x4</t>
  </si>
  <si>
    <t>CDD Inspections, Building Official</t>
  </si>
  <si>
    <t xml:space="preserve">Replaced 2022 w/ Escape Hybrid </t>
  </si>
  <si>
    <t>T-18</t>
  </si>
  <si>
    <t>2007 Chev Canopy</t>
  </si>
  <si>
    <t>All Utilities</t>
  </si>
  <si>
    <t>Utility Repair Truck</t>
  </si>
  <si>
    <t>T-17</t>
  </si>
  <si>
    <t>2013 Chevrolet Silver SK3</t>
  </si>
  <si>
    <t xml:space="preserve">Old PD to EVOC Training. </t>
  </si>
  <si>
    <t>T -15</t>
  </si>
  <si>
    <t>Send to WWTP/WTP 2020</t>
  </si>
  <si>
    <t xml:space="preserve">Remains at WWTP/WTP </t>
  </si>
  <si>
    <t>T-14</t>
  </si>
  <si>
    <t>1998 Chevrolet K3500 4x4 w/ snow plow</t>
  </si>
  <si>
    <t xml:space="preserve">Mechanic Service Truck </t>
  </si>
  <si>
    <t xml:space="preserve">Replaced 2022 w/service body (mechanic) </t>
  </si>
  <si>
    <t>T-13</t>
  </si>
  <si>
    <t>2008 Ford Supercab 4X4</t>
  </si>
  <si>
    <t xml:space="preserve">Service Truck </t>
  </si>
  <si>
    <t>T-12</t>
  </si>
  <si>
    <t>PW loaned to Park 2021</t>
  </si>
  <si>
    <t>Replaced 2022 w/ F-250 (PW) not arrived</t>
  </si>
  <si>
    <t>T-11</t>
  </si>
  <si>
    <t>2007 Ford F150</t>
  </si>
  <si>
    <t>Civil Inspection</t>
  </si>
  <si>
    <t xml:space="preserve">Replaced 2022 w/ F-150 and canopy (Amos) </t>
  </si>
  <si>
    <t>T-8</t>
  </si>
  <si>
    <t>2006 Ford 1/2 Ton Canopy</t>
  </si>
  <si>
    <t>Reading Metrs, Utility Truck</t>
  </si>
  <si>
    <t>Replaced 2022 with F-150</t>
  </si>
  <si>
    <t>T-3</t>
  </si>
  <si>
    <t>T-2</t>
  </si>
  <si>
    <t>Hauling Construction Materials</t>
  </si>
  <si>
    <t>Purchased Used From Motor Trucks</t>
  </si>
  <si>
    <t>T-1</t>
  </si>
  <si>
    <t>1990 International Dump Truck 10 yds</t>
  </si>
  <si>
    <t>Vehicles:</t>
  </si>
  <si>
    <t xml:space="preserve">Current Use: </t>
  </si>
  <si>
    <t>Notes:</t>
  </si>
  <si>
    <t>Included in Budget</t>
  </si>
  <si>
    <t>Replacement Date</t>
  </si>
  <si>
    <t>Life (years)</t>
  </si>
  <si>
    <t>Street</t>
  </si>
  <si>
    <t>Storm</t>
  </si>
  <si>
    <t>Sewer</t>
  </si>
  <si>
    <t>Water</t>
  </si>
  <si>
    <t>Purchase Amount</t>
  </si>
  <si>
    <t>Purchase Date</t>
  </si>
  <si>
    <t>Inventory Number</t>
  </si>
  <si>
    <t>Six Year Capital Plan</t>
  </si>
  <si>
    <t>Public Works Department</t>
  </si>
  <si>
    <t>City of Ferndale</t>
  </si>
  <si>
    <t>Payoff 2023</t>
  </si>
  <si>
    <t>Fund 651 | Court Activity</t>
  </si>
  <si>
    <t>Fund 650 | Court Agency</t>
  </si>
  <si>
    <t>Fund 510 | Computer Repair &amp; Replacement</t>
  </si>
  <si>
    <t>Fund 550 | Equipment Maintenance &amp; Replacement</t>
  </si>
  <si>
    <t>Fund 415 | Waste Water Treatment Plant Construction (WWTP)</t>
  </si>
  <si>
    <t>Fund 414 | Shop Well 2</t>
  </si>
  <si>
    <t>Fund 413 | Water Treatment Plant Upgrade (WTP)</t>
  </si>
  <si>
    <t>Fund 409 | CCWA Water Conversion Debt Service</t>
  </si>
  <si>
    <t>Fund 408 | Utility Loan Debt Service</t>
  </si>
  <si>
    <t xml:space="preserve">Fund 407 | Storm &amp; Flood Control </t>
  </si>
  <si>
    <t>Fund 405 | WWTP Debt Service Fund</t>
  </si>
  <si>
    <t>Fund 404 | 2005 Sewer Bond Reserve</t>
  </si>
  <si>
    <t>Fund 403 | 2005/2011 Water/Sewer Bond Redemption</t>
  </si>
  <si>
    <t>Fund 402 | Sewer</t>
  </si>
  <si>
    <t>Fund 401 | Water</t>
  </si>
  <si>
    <t>Fund 370 | Thornton Road Construction</t>
  </si>
  <si>
    <t>Fund 302 | Real Estate Excise Tax - Second 1/4 Percent</t>
  </si>
  <si>
    <t>Fund 301 | Real Estate Excise Tax - First 1/4 Percent</t>
  </si>
  <si>
    <t>Fund 220 | 2013 Library LTGO Bond Redemption</t>
  </si>
  <si>
    <t>Fund 219 | 2011 Limited Tax General Obligation Bond Redemption</t>
  </si>
  <si>
    <t>Fund 218 | 2010 Limited Tax General Obligation Bond Redemption</t>
  </si>
  <si>
    <t>Fund 217 | LaBounty GO Bond Debt Service</t>
  </si>
  <si>
    <t>Fund 216 | LaBounty LID 2006-1 Bond Guarantee</t>
  </si>
  <si>
    <t>Fund 215 | Labounty LID 2006-1 Bond Redemption</t>
  </si>
  <si>
    <t>Fund 214 | Streets/Parks/Land Debt Service</t>
  </si>
  <si>
    <t>Fund 198 | Hotel Motel</t>
  </si>
  <si>
    <t>Fund 115 | American Rescue Plan Act (ARPA)</t>
  </si>
  <si>
    <t>Fund 114 | Complete Streets</t>
  </si>
  <si>
    <t>Fund 113 | Transportation Benefit District .2% Sales Tax Revenue</t>
  </si>
  <si>
    <t>Fund 107 | Local Criminal Justice Revenue</t>
  </si>
  <si>
    <t>Fund 106 | Criminal Justice</t>
  </si>
  <si>
    <t>Fund 104 | Traffic Mitigation</t>
  </si>
  <si>
    <t>Fund 102 | Park Mitigation</t>
  </si>
  <si>
    <t>Fund 101 | Street</t>
  </si>
  <si>
    <t>Fund 007 | General Fund Pioneer Pavilion Community Center Operations</t>
  </si>
  <si>
    <t>Fund 005 | General Fund Solid Waste Utility Tax</t>
  </si>
  <si>
    <t>Fund 004 | General Fund Leoff 1 Retiree</t>
  </si>
  <si>
    <t>Fund 003 | General Fund Facilities Capital Reserve</t>
  </si>
  <si>
    <t>Fund 002 | General Fund Contingency Reserve</t>
  </si>
  <si>
    <t>Fund 001 | General Fund Current Expenses</t>
  </si>
  <si>
    <t>Tank Abandonment/removal Permit</t>
  </si>
  <si>
    <t>Donation From Chelsey Rae Ebert 2016 - Police Chief for a Day Program/Honorary Police Officer Program</t>
  </si>
  <si>
    <t xml:space="preserve">Diversity, Equity, and Inclusion </t>
  </si>
  <si>
    <t>Benefits Patrol-Social Security</t>
  </si>
  <si>
    <t>Office Benefits-Social Security</t>
  </si>
  <si>
    <t>      Alcohol Admin. Board</t>
  </si>
  <si>
    <t>      Total Alcohol Admin. Board</t>
  </si>
  <si>
    <t>Grant confirmed for 2023</t>
  </si>
  <si>
    <t>Civic Complex</t>
  </si>
  <si>
    <t>Payments begin in 2024</t>
  </si>
  <si>
    <t>Actuals</t>
  </si>
  <si>
    <t>January</t>
  </si>
  <si>
    <t>February</t>
  </si>
  <si>
    <t xml:space="preserve">March </t>
  </si>
  <si>
    <t xml:space="preserve">April 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</si>
  <si>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</si>
  <si>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</si>
  <si>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</si>
  <si>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</si>
  <si>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</si>
  <si>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</si>
  <si>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</si>
  <si>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</si>
  <si>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Budgeted</t>
  </si>
  <si>
    <t>Estimated</t>
  </si>
  <si>
    <t>2021/2020</t>
  </si>
  <si>
    <t>2022/2021</t>
  </si>
  <si>
    <t xml:space="preserve">Revenue source is decreasing as there are less landlines and less cell phones which do not include internet.  </t>
  </si>
  <si>
    <t>https://mrsc.org/Home/Explore-Topics/Finance/budgets/State-Shared-Revenue-Estimator.aspx</t>
  </si>
  <si>
    <t>w/ 1% increase</t>
  </si>
  <si>
    <t>2022 YTD 10.31.22</t>
  </si>
  <si>
    <t>See Professional Services - Judge</t>
  </si>
  <si>
    <t>Pioneer Cabin Preservation</t>
  </si>
  <si>
    <t>One time equipment purchase</t>
  </si>
  <si>
    <t>Software and computer support for Ferndale TV</t>
  </si>
  <si>
    <t>Parks equipment storage</t>
  </si>
  <si>
    <t>Additional expense related to WRPA conference being in Spokane in 2023</t>
  </si>
  <si>
    <t>WRPA registration + PIO recertification/Drone Pilot Fees</t>
  </si>
  <si>
    <t>New Vehicle</t>
  </si>
  <si>
    <t>Background increased cost/Radio tower repair - est $175k</t>
  </si>
  <si>
    <t>Includes $6,000 sponsorship</t>
  </si>
  <si>
    <t>Includes Planner</t>
  </si>
  <si>
    <t>June - grant funded for 2025 Update</t>
  </si>
  <si>
    <t>Increase in SmartGov permitting (BlueBeam/Basic Services Upgrade)</t>
  </si>
  <si>
    <t xml:space="preserve">    $62,500 Grant for Comprehensive Plan</t>
  </si>
  <si>
    <t>Sources</t>
  </si>
  <si>
    <t>Uses</t>
  </si>
  <si>
    <t>Utility Tax</t>
  </si>
  <si>
    <t>Grants</t>
  </si>
  <si>
    <t>Fines/Penalties</t>
  </si>
  <si>
    <t>Goods/Services</t>
  </si>
  <si>
    <t>Licenses/Permits</t>
  </si>
  <si>
    <t>Fees</t>
  </si>
  <si>
    <t>Police</t>
  </si>
  <si>
    <t>Public Works</t>
  </si>
  <si>
    <t>Planning/Community Development</t>
  </si>
  <si>
    <t>Parks/Recreation</t>
  </si>
  <si>
    <t>Non-Departmental</t>
  </si>
  <si>
    <t>Legal</t>
  </si>
  <si>
    <t>Finance</t>
  </si>
  <si>
    <t>Municipal Court</t>
  </si>
  <si>
    <t>Administration</t>
  </si>
  <si>
    <t>Legislative</t>
  </si>
  <si>
    <t>Executive</t>
  </si>
  <si>
    <t>Communications</t>
  </si>
  <si>
    <t>ARPA</t>
  </si>
  <si>
    <t>Transfers</t>
  </si>
  <si>
    <t>City Hall/Annex/Library</t>
  </si>
  <si>
    <t>Capital Expenditures</t>
  </si>
  <si>
    <t>Debt</t>
  </si>
  <si>
    <t>Police Radios</t>
  </si>
  <si>
    <t>Ferndale Terrace Right of Way</t>
  </si>
  <si>
    <t>Gate controller and refurbish Public Works</t>
  </si>
  <si>
    <t xml:space="preserve">Washington Street </t>
  </si>
  <si>
    <t>Tax</t>
  </si>
  <si>
    <t>TR to 101 for Ferndale Terrace Addition</t>
  </si>
  <si>
    <t>Tax Revenue</t>
  </si>
  <si>
    <t>Real Estate</t>
  </si>
  <si>
    <t>Marijuana/Liquor</t>
  </si>
  <si>
    <t>Library</t>
  </si>
  <si>
    <t>Motor Vehicle</t>
  </si>
  <si>
    <t>Fund 310 | MetalWorks Skate Park</t>
  </si>
  <si>
    <t>2023 Budget Overview</t>
  </si>
  <si>
    <t>2023 Funding Plan</t>
  </si>
  <si>
    <t>Budget Assumptions</t>
  </si>
  <si>
    <t>Total Revenue:</t>
  </si>
  <si>
    <t>Total Tax Revenue:</t>
  </si>
  <si>
    <r>
      <rPr>
        <sz val="14"/>
        <rFont val="Calibri"/>
        <family val="2"/>
      </rPr>
      <t>•</t>
    </r>
    <r>
      <rPr>
        <sz val="14"/>
        <rFont val="Cambria"/>
        <family val="1"/>
      </rPr>
      <t xml:space="preserve"> No operating programs without identifiable sources of income</t>
    </r>
  </si>
  <si>
    <t>Total Expenses:</t>
  </si>
  <si>
    <t>Taxes</t>
  </si>
  <si>
    <r>
      <rPr>
        <sz val="14"/>
        <rFont val="Calibri"/>
        <family val="2"/>
      </rPr>
      <t>•</t>
    </r>
    <r>
      <rPr>
        <sz val="14"/>
        <rFont val="Cambria"/>
        <family val="1"/>
      </rPr>
      <t xml:space="preserve"> No third party/grants unless funding is in place</t>
    </r>
  </si>
  <si>
    <t>Total Capital Budget:</t>
  </si>
  <si>
    <r>
      <rPr>
        <sz val="14"/>
        <rFont val="Calibri"/>
        <family val="2"/>
      </rPr>
      <t>•</t>
    </r>
    <r>
      <rPr>
        <sz val="14"/>
        <rFont val="Cambria"/>
        <family val="1"/>
      </rPr>
      <t xml:space="preserve"> Additional staff as requested</t>
    </r>
  </si>
  <si>
    <t>Annual Debt Service</t>
  </si>
  <si>
    <r>
      <rPr>
        <sz val="14"/>
        <rFont val="Calibri"/>
        <family val="2"/>
      </rPr>
      <t>•</t>
    </r>
    <r>
      <rPr>
        <sz val="14"/>
        <rFont val="Cambria"/>
        <family val="1"/>
      </rPr>
      <t xml:space="preserve"> Adjustments for inflation up to 5.5%</t>
    </r>
  </si>
  <si>
    <t>Capex</t>
  </si>
  <si>
    <t>Streets</t>
  </si>
  <si>
    <t>WTP Upgrade</t>
  </si>
  <si>
    <t>Computer</t>
  </si>
  <si>
    <r>
      <rPr>
        <sz val="14"/>
        <rFont val="Calibri"/>
        <family val="2"/>
      </rPr>
      <t>•</t>
    </r>
    <r>
      <rPr>
        <sz val="14"/>
        <rFont val="Cambria"/>
        <family val="1"/>
      </rPr>
      <t xml:space="preserve"> Balanced Budget</t>
    </r>
  </si>
  <si>
    <r>
      <rPr>
        <sz val="14"/>
        <rFont val="Calibri"/>
        <family val="2"/>
      </rPr>
      <t>•</t>
    </r>
    <r>
      <rPr>
        <sz val="14"/>
        <rFont val="Cambria"/>
        <family val="1"/>
      </rPr>
      <t xml:space="preserve"> Reserve Fund balances in line with Financial Policies</t>
    </r>
  </si>
  <si>
    <r>
      <rPr>
        <sz val="14"/>
        <rFont val="Calibri"/>
        <family val="2"/>
      </rPr>
      <t>•</t>
    </r>
    <r>
      <rPr>
        <sz val="14"/>
        <rFont val="Cambria"/>
        <family val="1"/>
      </rPr>
      <t xml:space="preserve"> Estimated revenues in line with predicted lower real estate activity</t>
    </r>
  </si>
  <si>
    <t>Revenue Sources</t>
  </si>
  <si>
    <t>Tax Revenue Breakdown</t>
  </si>
  <si>
    <t>Uses of Revenue</t>
  </si>
  <si>
    <t>Capital Expenditure Breakdown</t>
  </si>
  <si>
    <t>*</t>
  </si>
  <si>
    <t>Fund 001 - General Fund Increases</t>
  </si>
  <si>
    <t>Fund 101 - Streets Increases</t>
  </si>
  <si>
    <t>Fund 401 - Water Increases</t>
  </si>
  <si>
    <t>Fund 405 - WWTP Debt Service Fund Increases</t>
  </si>
  <si>
    <t>Fund 413 - Water Treatment Plant Upgrade Increases</t>
  </si>
  <si>
    <t>Vista - Malloy</t>
  </si>
  <si>
    <t>Fund 407 - Storm &amp; Flood Increases</t>
  </si>
  <si>
    <t>• $300k Police expenses: vehicle, gate controller, academy expenses, increase in background checks</t>
  </si>
  <si>
    <t>• $100k Increase to What-Comm</t>
  </si>
  <si>
    <t>• $100k Increase for outside consultants/lobbyist</t>
  </si>
  <si>
    <t>• $85k Increase to Insurance</t>
  </si>
  <si>
    <t>• Conservative revenue due to economic uncertainty for 2023</t>
  </si>
  <si>
    <t>• Capital Projects</t>
  </si>
  <si>
    <t>• $2,980k Thornton to Malloy</t>
  </si>
  <si>
    <t>• $500k Main Street - Barret</t>
  </si>
  <si>
    <t>• $500k Malloy Culvert</t>
  </si>
  <si>
    <t>• $500k Ferndale Terrace right of way</t>
  </si>
  <si>
    <t>• $150k Sidewalks</t>
  </si>
  <si>
    <t>• $137k Salaries</t>
  </si>
  <si>
    <t>• $50k ADA</t>
  </si>
  <si>
    <t>• $1.2m Intertie construction</t>
  </si>
  <si>
    <t>• $800k Thornton to Malloy construction</t>
  </si>
  <si>
    <t>• $800k Church Road Pump Upgrade</t>
  </si>
  <si>
    <t>• $750k Douglas Well</t>
  </si>
  <si>
    <t>• $150k Increase for Supplies</t>
  </si>
  <si>
    <t>• $55k Controller replacement</t>
  </si>
  <si>
    <t>• $50k increase in salaries</t>
  </si>
  <si>
    <t xml:space="preserve">• $1.1m increase in debt payment </t>
  </si>
  <si>
    <t>• $3.5m Decant construction</t>
  </si>
  <si>
    <t>• $5.2m WTP Upgrade construction</t>
  </si>
  <si>
    <t>• $1.2m Malloy Culvert</t>
  </si>
  <si>
    <t>• $500k Vista to Malloy</t>
  </si>
  <si>
    <t>• $180k SW Storm Pond</t>
  </si>
  <si>
    <t>• $121k increase in salaries</t>
  </si>
  <si>
    <t>TR From F302</t>
  </si>
  <si>
    <t>Transfer to Fund 413</t>
  </si>
  <si>
    <t>• Transfer out</t>
  </si>
  <si>
    <t>Fund 414 - Shop Well 2</t>
  </si>
  <si>
    <t>Fund 550 - Equipment Maintenance &amp; Replacement</t>
  </si>
  <si>
    <t>• $176k Vehicles**</t>
  </si>
  <si>
    <t>• $258k Vehicles**</t>
  </si>
  <si>
    <t>• $148k Vehicles**</t>
  </si>
  <si>
    <t>** This includes vehicle expenses budgeted for 2022</t>
  </si>
  <si>
    <t>• $590k Salaries, including new Police Officer, Public Works worker, Planner, Facilities Maintenance (carryover from 2022)</t>
  </si>
  <si>
    <t xml:space="preserve">New Facilities Maintenance </t>
  </si>
  <si>
    <t>• $385k Washington Property (right of way)</t>
  </si>
  <si>
    <t>Washington Right of Way</t>
  </si>
  <si>
    <t>Equipment Administration</t>
  </si>
  <si>
    <t>Updated per 11/21 meeting</t>
  </si>
  <si>
    <t>Bellingham/Whatcom Commission on Sexual and Domestic Violence</t>
  </si>
  <si>
    <t>Downtown Restaurant Connections</t>
  </si>
  <si>
    <t>Rules/protocols worked out early 2023</t>
  </si>
  <si>
    <t>Maintain 2023</t>
  </si>
  <si>
    <t>REF 2023</t>
  </si>
  <si>
    <t>Actual 2023</t>
  </si>
  <si>
    <t>2022 YTD 11.30.22</t>
  </si>
  <si>
    <t>Flat amount? No change since 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</si>
</sst>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&quot;$&quot;#,##0.00;\(&quot;$&quot;#,##0.00\)"/>
    <numFmt numFmtId="165" formatCode="&quot;$&quot;#,##0.00"/>
    <numFmt numFmtId="166" formatCode="_(&quot;$&quot;* #,##0_);_(&quot;$&quot;* \(#,##0\);_(&quot;$&quot;* &quot;-&quot;??_);_(@_)"/>
  </numFmts>
  <fonts count="4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24"/>
      <name val="Calibri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9"/>
      <color rgb="FFFFFFFF"/>
      <name val="Arial"/>
      <family val="2"/>
    </font>
    <font>
      <sz val="9"/>
      <color rgb="FF708090"/>
      <name val="Arial"/>
      <family val="2"/>
    </font>
    <font>
      <b/>
      <sz val="20"/>
      <color rgb="FF708090"/>
      <name val="Arial"/>
      <family val="2"/>
    </font>
    <font>
      <b/>
      <sz val="14"/>
      <color rgb="FFFFFF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name val="Arial"/>
      <family val="2"/>
    </font>
    <font>
      <sz val="14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b/>
      <sz val="28"/>
      <color theme="1" tint="0.34998626667073579"/>
      <name val="Cambria"/>
      <family val="1"/>
      <scheme val="major"/>
    </font>
    <font>
      <sz val="14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2"/>
    </font>
    <font>
      <sz val="14"/>
      <name val="Cambria"/>
      <family val="1"/>
    </font>
    <font>
      <b/>
      <u/>
      <sz val="9"/>
      <name val="Arial"/>
      <family val="2"/>
    </font>
    <font>
      <b/>
      <sz val="1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B0C4DE"/>
        <bgColor rgb="FFB0C4D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24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44">
    <xf numFmtId="0" fontId="6" fillId="0" borderId="0" xfId="0" applyFont="1"/>
    <xf numFmtId="0" fontId="7" fillId="0" borderId="0" xfId="0" applyFont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164" fontId="8" fillId="0" borderId="0" xfId="0" applyNumberFormat="1" applyFont="1" applyAlignment="1">
      <alignment horizontal="right" vertical="top" wrapText="1" readingOrder="1"/>
    </xf>
    <xf numFmtId="164" fontId="7" fillId="0" borderId="0" xfId="0" applyNumberFormat="1" applyFont="1" applyAlignment="1">
      <alignment horizontal="right" vertical="top" wrapText="1" readingOrder="1"/>
    </xf>
    <xf numFmtId="164" fontId="8" fillId="0" borderId="0" xfId="0" applyNumberFormat="1" applyFont="1" applyAlignment="1">
      <alignment vertical="top" wrapText="1" readingOrder="1"/>
    </xf>
    <xf numFmtId="164" fontId="7" fillId="0" borderId="0" xfId="0" applyNumberFormat="1" applyFont="1" applyAlignment="1">
      <alignment vertical="top" wrapText="1" readingOrder="1"/>
    </xf>
    <xf numFmtId="0" fontId="10" fillId="0" borderId="0" xfId="0" applyFont="1"/>
    <xf numFmtId="0" fontId="11" fillId="0" borderId="0" xfId="0" applyFont="1"/>
    <xf numFmtId="0" fontId="12" fillId="2" borderId="1" xfId="0" applyFont="1" applyFill="1" applyBorder="1" applyAlignment="1">
      <alignment horizontal="center" vertical="center" wrapText="1" readingOrder="1"/>
    </xf>
    <xf numFmtId="0" fontId="12" fillId="2" borderId="2" xfId="0" applyFont="1" applyFill="1" applyBorder="1" applyAlignment="1">
      <alignment horizontal="center" vertical="center" wrapText="1" readingOrder="1"/>
    </xf>
    <xf numFmtId="165" fontId="12" fillId="2" borderId="1" xfId="0" applyNumberFormat="1" applyFont="1" applyFill="1" applyBorder="1" applyAlignment="1">
      <alignment horizontal="center" vertical="center" wrapText="1" readingOrder="1"/>
    </xf>
    <xf numFmtId="165" fontId="12" fillId="3" borderId="0" xfId="0" applyNumberFormat="1" applyFont="1" applyFill="1" applyAlignment="1">
      <alignment wrapText="1" readingOrder="1"/>
    </xf>
    <xf numFmtId="0" fontId="8" fillId="3" borderId="0" xfId="0" applyFont="1" applyFill="1" applyAlignment="1">
      <alignment vertical="top" wrapText="1" readingOrder="1"/>
    </xf>
    <xf numFmtId="0" fontId="6" fillId="3" borderId="0" xfId="0" applyFont="1" applyFill="1"/>
    <xf numFmtId="165" fontId="12" fillId="3" borderId="0" xfId="1" applyNumberFormat="1" applyFont="1" applyFill="1" applyAlignment="1">
      <alignment wrapText="1" readingOrder="1"/>
    </xf>
    <xf numFmtId="0" fontId="13" fillId="4" borderId="0" xfId="0" applyFont="1" applyFill="1" applyAlignment="1">
      <alignment vertical="top" wrapText="1" readingOrder="1"/>
    </xf>
    <xf numFmtId="0" fontId="10" fillId="4" borderId="0" xfId="0" applyFont="1" applyFill="1"/>
    <xf numFmtId="0" fontId="14" fillId="4" borderId="0" xfId="0" applyFont="1" applyFill="1" applyAlignment="1">
      <alignment vertical="top" wrapText="1" readingOrder="1"/>
    </xf>
    <xf numFmtId="164" fontId="14" fillId="4" borderId="0" xfId="0" applyNumberFormat="1" applyFont="1" applyFill="1" applyAlignment="1">
      <alignment horizontal="right" vertical="top" wrapText="1" readingOrder="1"/>
    </xf>
    <xf numFmtId="164" fontId="13" fillId="4" borderId="0" xfId="0" applyNumberFormat="1" applyFont="1" applyFill="1" applyAlignment="1">
      <alignment horizontal="right" vertical="top" wrapText="1" readingOrder="1"/>
    </xf>
    <xf numFmtId="7" fontId="10" fillId="0" borderId="0" xfId="0" applyNumberFormat="1" applyFont="1"/>
    <xf numFmtId="7" fontId="10" fillId="4" borderId="0" xfId="0" applyNumberFormat="1" applyFont="1" applyFill="1"/>
    <xf numFmtId="0" fontId="7" fillId="4" borderId="0" xfId="0" applyFont="1" applyFill="1" applyAlignment="1">
      <alignment vertical="top" wrapText="1" readingOrder="1"/>
    </xf>
    <xf numFmtId="7" fontId="7" fillId="0" borderId="0" xfId="0" applyNumberFormat="1" applyFont="1" applyAlignment="1">
      <alignment vertical="top" wrapText="1" readingOrder="1"/>
    </xf>
    <xf numFmtId="0" fontId="7" fillId="5" borderId="0" xfId="0" applyFont="1" applyFill="1" applyAlignment="1">
      <alignment wrapText="1" readingOrder="1"/>
    </xf>
    <xf numFmtId="7" fontId="7" fillId="5" borderId="0" xfId="0" applyNumberFormat="1" applyFont="1" applyFill="1" applyAlignment="1">
      <alignment wrapText="1" readingOrder="1"/>
    </xf>
    <xf numFmtId="0" fontId="7" fillId="3" borderId="0" xfId="0" applyFont="1" applyFill="1" applyAlignment="1">
      <alignment wrapText="1" readingOrder="1"/>
    </xf>
    <xf numFmtId="165" fontId="7" fillId="3" borderId="0" xfId="0" applyNumberFormat="1" applyFont="1" applyFill="1" applyAlignment="1">
      <alignment wrapText="1" readingOrder="1"/>
    </xf>
    <xf numFmtId="0" fontId="6" fillId="4" borderId="0" xfId="0" applyFont="1" applyFill="1"/>
    <xf numFmtId="0" fontId="8" fillId="4" borderId="0" xfId="0" applyFont="1" applyFill="1" applyAlignment="1">
      <alignment vertical="top" wrapText="1" readingOrder="1"/>
    </xf>
    <xf numFmtId="164" fontId="8" fillId="4" borderId="0" xfId="0" applyNumberFormat="1" applyFont="1" applyFill="1" applyAlignment="1">
      <alignment horizontal="right" vertical="top" wrapText="1" readingOrder="1"/>
    </xf>
    <xf numFmtId="164" fontId="7" fillId="4" borderId="0" xfId="0" applyNumberFormat="1" applyFont="1" applyFill="1" applyAlignment="1">
      <alignment horizontal="right" vertical="top" wrapText="1" readingOrder="1"/>
    </xf>
    <xf numFmtId="165" fontId="7" fillId="5" borderId="0" xfId="0" applyNumberFormat="1" applyFont="1" applyFill="1" applyAlignment="1">
      <alignment wrapText="1" readingOrder="1"/>
    </xf>
    <xf numFmtId="0" fontId="7" fillId="0" borderId="0" xfId="0" applyFont="1" applyAlignment="1">
      <alignment wrapText="1" readingOrder="1"/>
    </xf>
    <xf numFmtId="165" fontId="7" fillId="0" borderId="0" xfId="0" applyNumberFormat="1" applyFont="1" applyAlignment="1">
      <alignment wrapText="1" readingOrder="1"/>
    </xf>
    <xf numFmtId="165" fontId="7" fillId="0" borderId="0" xfId="0" applyNumberFormat="1" applyFont="1" applyAlignment="1">
      <alignment vertical="top" wrapText="1" readingOrder="1"/>
    </xf>
    <xf numFmtId="0" fontId="7" fillId="4" borderId="0" xfId="0" applyFont="1" applyFill="1" applyAlignment="1">
      <alignment wrapText="1" readingOrder="1"/>
    </xf>
    <xf numFmtId="0" fontId="6" fillId="5" borderId="0" xfId="0" applyFont="1" applyFill="1"/>
    <xf numFmtId="0" fontId="7" fillId="6" borderId="0" xfId="0" applyFont="1" applyFill="1" applyAlignment="1">
      <alignment vertical="top" wrapText="1" readingOrder="1"/>
    </xf>
    <xf numFmtId="165" fontId="6" fillId="0" borderId="0" xfId="0" applyNumberFormat="1" applyFont="1"/>
    <xf numFmtId="7" fontId="6" fillId="0" borderId="0" xfId="0" applyNumberFormat="1" applyFont="1"/>
    <xf numFmtId="0" fontId="7" fillId="7" borderId="0" xfId="0" applyFont="1" applyFill="1" applyAlignment="1">
      <alignment vertical="top" wrapText="1" readingOrder="1"/>
    </xf>
    <xf numFmtId="0" fontId="7" fillId="7" borderId="0" xfId="0" applyFont="1" applyFill="1" applyAlignment="1">
      <alignment wrapText="1" readingOrder="1"/>
    </xf>
    <xf numFmtId="164" fontId="7" fillId="7" borderId="0" xfId="0" applyNumberFormat="1" applyFont="1" applyFill="1" applyAlignment="1">
      <alignment vertical="top" wrapText="1" readingOrder="1"/>
    </xf>
    <xf numFmtId="0" fontId="6" fillId="7" borderId="0" xfId="0" applyFont="1" applyFill="1"/>
    <xf numFmtId="164" fontId="7" fillId="7" borderId="0" xfId="0" applyNumberFormat="1" applyFont="1" applyFill="1" applyAlignment="1">
      <alignment horizontal="right" vertical="top" wrapText="1" readingOrder="1"/>
    </xf>
    <xf numFmtId="42" fontId="16" fillId="0" borderId="0" xfId="2" applyNumberFormat="1" applyFont="1" applyFill="1" applyBorder="1" applyAlignment="1"/>
    <xf numFmtId="164" fontId="6" fillId="0" borderId="0" xfId="0" applyNumberFormat="1" applyFont="1"/>
    <xf numFmtId="164" fontId="7" fillId="8" borderId="0" xfId="0" applyNumberFormat="1" applyFont="1" applyFill="1" applyAlignment="1">
      <alignment horizontal="right" vertical="top" wrapText="1" readingOrder="1"/>
    </xf>
    <xf numFmtId="164" fontId="8" fillId="8" borderId="0" xfId="0" applyNumberFormat="1" applyFont="1" applyFill="1" applyAlignment="1">
      <alignment horizontal="right" vertical="top" wrapText="1" readingOrder="1"/>
    </xf>
    <xf numFmtId="0" fontId="17" fillId="2" borderId="0" xfId="0" applyFont="1" applyFill="1" applyAlignment="1">
      <alignment horizontal="right" vertical="top" wrapText="1" readingOrder="1"/>
    </xf>
    <xf numFmtId="0" fontId="17" fillId="2" borderId="0" xfId="0" applyFont="1" applyFill="1" applyAlignment="1">
      <alignment vertical="top" wrapText="1" readingOrder="1"/>
    </xf>
    <xf numFmtId="0" fontId="7" fillId="0" borderId="0" xfId="0" applyFont="1" applyAlignment="1">
      <alignment horizontal="right" vertical="top" wrapText="1" readingOrder="1"/>
    </xf>
    <xf numFmtId="0" fontId="20" fillId="2" borderId="0" xfId="0" applyFont="1" applyFill="1" applyAlignment="1">
      <alignment vertical="top" wrapText="1" readingOrder="1"/>
    </xf>
    <xf numFmtId="164" fontId="8" fillId="9" borderId="0" xfId="0" applyNumberFormat="1" applyFont="1" applyFill="1" applyAlignment="1">
      <alignment vertical="top" wrapText="1" readingOrder="1"/>
    </xf>
    <xf numFmtId="164" fontId="8" fillId="10" borderId="0" xfId="0" applyNumberFormat="1" applyFont="1" applyFill="1" applyAlignment="1">
      <alignment vertical="top" wrapText="1" readingOrder="1"/>
    </xf>
    <xf numFmtId="0" fontId="6" fillId="9" borderId="0" xfId="0" applyFont="1" applyFill="1"/>
    <xf numFmtId="164" fontId="8" fillId="11" borderId="0" xfId="0" applyNumberFormat="1" applyFont="1" applyFill="1" applyAlignment="1">
      <alignment horizontal="right" vertical="top" wrapText="1" readingOrder="1"/>
    </xf>
    <xf numFmtId="164" fontId="8" fillId="11" borderId="0" xfId="0" applyNumberFormat="1" applyFont="1" applyFill="1" applyAlignment="1">
      <alignment vertical="top" wrapText="1" readingOrder="1"/>
    </xf>
    <xf numFmtId="7" fontId="6" fillId="4" borderId="0" xfId="0" applyNumberFormat="1" applyFont="1" applyFill="1"/>
    <xf numFmtId="164" fontId="7" fillId="11" borderId="0" xfId="0" applyNumberFormat="1" applyFont="1" applyFill="1" applyAlignment="1">
      <alignment vertical="top" wrapText="1" readingOrder="1"/>
    </xf>
    <xf numFmtId="0" fontId="7" fillId="11" borderId="0" xfId="0" applyFont="1" applyFill="1" applyAlignment="1">
      <alignment vertical="top" wrapText="1" readingOrder="1"/>
    </xf>
    <xf numFmtId="0" fontId="6" fillId="11" borderId="0" xfId="0" applyFont="1" applyFill="1"/>
    <xf numFmtId="164" fontId="14" fillId="11" borderId="0" xfId="0" applyNumberFormat="1" applyFont="1" applyFill="1" applyAlignment="1">
      <alignment horizontal="right" vertical="top" wrapText="1" readingOrder="1"/>
    </xf>
    <xf numFmtId="164" fontId="8" fillId="12" borderId="0" xfId="0" applyNumberFormat="1" applyFont="1" applyFill="1" applyAlignment="1">
      <alignment vertical="top" wrapText="1" readingOrder="1"/>
    </xf>
    <xf numFmtId="164" fontId="8" fillId="12" borderId="0" xfId="0" applyNumberFormat="1" applyFont="1" applyFill="1" applyAlignment="1">
      <alignment horizontal="right" vertical="top" wrapText="1" readingOrder="1"/>
    </xf>
    <xf numFmtId="164" fontId="8" fillId="9" borderId="0" xfId="0" applyNumberFormat="1" applyFont="1" applyFill="1" applyAlignment="1">
      <alignment horizontal="right" vertical="top" wrapText="1" readingOrder="1"/>
    </xf>
    <xf numFmtId="0" fontId="8" fillId="3" borderId="0" xfId="0" applyFont="1" applyFill="1" applyAlignment="1">
      <alignment wrapText="1" readingOrder="1"/>
    </xf>
    <xf numFmtId="0" fontId="8" fillId="0" borderId="0" xfId="0" applyFont="1" applyAlignment="1">
      <alignment wrapText="1" readingOrder="1"/>
    </xf>
    <xf numFmtId="165" fontId="8" fillId="0" borderId="0" xfId="0" applyNumberFormat="1" applyFont="1" applyAlignment="1">
      <alignment wrapText="1" readingOrder="1"/>
    </xf>
    <xf numFmtId="165" fontId="16" fillId="13" borderId="0" xfId="0" quotePrefix="1" applyNumberFormat="1" applyFont="1" applyFill="1" applyAlignment="1">
      <alignment wrapText="1" readingOrder="1"/>
    </xf>
    <xf numFmtId="165" fontId="16" fillId="13" borderId="0" xfId="0" applyNumberFormat="1" applyFont="1" applyFill="1" applyAlignment="1">
      <alignment horizontal="left" readingOrder="1"/>
    </xf>
    <xf numFmtId="0" fontId="8" fillId="13" borderId="0" xfId="0" applyFont="1" applyFill="1" applyAlignment="1">
      <alignment vertical="top" wrapText="1" readingOrder="1"/>
    </xf>
    <xf numFmtId="0" fontId="10" fillId="13" borderId="0" xfId="0" applyFont="1" applyFill="1"/>
    <xf numFmtId="0" fontId="6" fillId="13" borderId="0" xfId="0" applyFont="1" applyFill="1"/>
    <xf numFmtId="165" fontId="12" fillId="13" borderId="0" xfId="1" applyNumberFormat="1" applyFont="1" applyFill="1" applyAlignment="1">
      <alignment wrapText="1" readingOrder="1"/>
    </xf>
    <xf numFmtId="0" fontId="8" fillId="13" borderId="0" xfId="0" quotePrefix="1" applyFont="1" applyFill="1" applyAlignment="1">
      <alignment vertical="top" wrapText="1" readingOrder="1"/>
    </xf>
    <xf numFmtId="0" fontId="8" fillId="13" borderId="0" xfId="0" applyFont="1" applyFill="1" applyAlignment="1">
      <alignment vertical="top" readingOrder="1"/>
    </xf>
    <xf numFmtId="43" fontId="10" fillId="13" borderId="0" xfId="1" applyFont="1" applyFill="1"/>
    <xf numFmtId="0" fontId="14" fillId="13" borderId="0" xfId="0" applyFont="1" applyFill="1" applyAlignment="1">
      <alignment vertical="top" wrapText="1" readingOrder="1"/>
    </xf>
    <xf numFmtId="0" fontId="14" fillId="13" borderId="0" xfId="0" applyFont="1" applyFill="1" applyAlignment="1">
      <alignment vertical="top" readingOrder="1"/>
    </xf>
    <xf numFmtId="43" fontId="10" fillId="14" borderId="0" xfId="1" applyFont="1" applyFill="1"/>
    <xf numFmtId="43" fontId="10" fillId="0" borderId="0" xfId="1" applyFont="1" applyFill="1"/>
    <xf numFmtId="43" fontId="10" fillId="3" borderId="0" xfId="1" applyFont="1" applyFill="1"/>
    <xf numFmtId="0" fontId="14" fillId="15" borderId="0" xfId="0" applyFont="1" applyFill="1" applyAlignment="1">
      <alignment vertical="top" wrapText="1" readingOrder="1"/>
    </xf>
    <xf numFmtId="0" fontId="14" fillId="15" borderId="0" xfId="0" applyFont="1" applyFill="1" applyAlignment="1">
      <alignment vertical="top" readingOrder="1"/>
    </xf>
    <xf numFmtId="43" fontId="10" fillId="15" borderId="0" xfId="1" applyFont="1" applyFill="1"/>
    <xf numFmtId="0" fontId="10" fillId="15" borderId="0" xfId="0" applyFont="1" applyFill="1"/>
    <xf numFmtId="0" fontId="13" fillId="15" borderId="0" xfId="0" applyFont="1" applyFill="1" applyAlignment="1">
      <alignment vertical="top" wrapText="1" readingOrder="1"/>
    </xf>
    <xf numFmtId="0" fontId="13" fillId="15" borderId="0" xfId="0" applyFont="1" applyFill="1" applyAlignment="1">
      <alignment vertical="top" readingOrder="1"/>
    </xf>
    <xf numFmtId="164" fontId="13" fillId="15" borderId="0" xfId="0" applyNumberFormat="1" applyFont="1" applyFill="1" applyAlignment="1">
      <alignment horizontal="right" vertical="top" wrapText="1" readingOrder="1"/>
    </xf>
    <xf numFmtId="0" fontId="6" fillId="15" borderId="0" xfId="0" applyFont="1" applyFill="1"/>
    <xf numFmtId="0" fontId="9" fillId="0" borderId="0" xfId="3" applyAlignment="1">
      <alignment horizontal="center"/>
    </xf>
    <xf numFmtId="0" fontId="6" fillId="0" borderId="0" xfId="3" applyFont="1"/>
    <xf numFmtId="43" fontId="6" fillId="0" borderId="0" xfId="3" applyNumberFormat="1" applyFont="1"/>
    <xf numFmtId="0" fontId="9" fillId="0" borderId="0" xfId="3"/>
    <xf numFmtId="43" fontId="0" fillId="8" borderId="0" xfId="4" applyFont="1" applyFill="1"/>
    <xf numFmtId="43" fontId="0" fillId="8" borderId="0" xfId="4" applyFont="1" applyFill="1" applyAlignment="1"/>
    <xf numFmtId="0" fontId="6" fillId="0" borderId="5" xfId="3" applyFont="1" applyBorder="1" applyAlignment="1">
      <alignment horizontal="center"/>
    </xf>
    <xf numFmtId="0" fontId="23" fillId="0" borderId="0" xfId="3" applyFont="1"/>
    <xf numFmtId="43" fontId="0" fillId="0" borderId="0" xfId="4" applyFont="1" applyFill="1"/>
    <xf numFmtId="0" fontId="7" fillId="16" borderId="0" xfId="0" applyFont="1" applyFill="1" applyAlignment="1">
      <alignment vertical="top" wrapText="1" readingOrder="1"/>
    </xf>
    <xf numFmtId="0" fontId="13" fillId="16" borderId="0" xfId="0" applyFont="1" applyFill="1" applyAlignment="1">
      <alignment vertical="top" wrapText="1" readingOrder="1"/>
    </xf>
    <xf numFmtId="0" fontId="10" fillId="16" borderId="0" xfId="0" applyFont="1" applyFill="1"/>
    <xf numFmtId="0" fontId="14" fillId="16" borderId="0" xfId="0" applyFont="1" applyFill="1" applyAlignment="1">
      <alignment vertical="top" wrapText="1" readingOrder="1"/>
    </xf>
    <xf numFmtId="164" fontId="14" fillId="16" borderId="0" xfId="0" applyNumberFormat="1" applyFont="1" applyFill="1" applyAlignment="1">
      <alignment horizontal="right" vertical="top" wrapText="1" readingOrder="1"/>
    </xf>
    <xf numFmtId="164" fontId="13" fillId="16" borderId="0" xfId="0" applyNumberFormat="1" applyFont="1" applyFill="1" applyAlignment="1">
      <alignment horizontal="right" vertical="top" wrapText="1" readingOrder="1"/>
    </xf>
    <xf numFmtId="0" fontId="6" fillId="16" borderId="0" xfId="0" applyFont="1" applyFill="1"/>
    <xf numFmtId="0" fontId="8" fillId="16" borderId="0" xfId="0" applyFont="1" applyFill="1" applyAlignment="1">
      <alignment vertical="top" wrapText="1" readingOrder="1"/>
    </xf>
    <xf numFmtId="164" fontId="8" fillId="16" borderId="0" xfId="0" applyNumberFormat="1" applyFont="1" applyFill="1" applyAlignment="1">
      <alignment horizontal="right" vertical="top" wrapText="1" readingOrder="1"/>
    </xf>
    <xf numFmtId="164" fontId="8" fillId="16" borderId="0" xfId="0" applyNumberFormat="1" applyFont="1" applyFill="1" applyAlignment="1">
      <alignment vertical="top" wrapText="1" readingOrder="1"/>
    </xf>
    <xf numFmtId="0" fontId="7" fillId="16" borderId="0" xfId="0" applyFont="1" applyFill="1" applyAlignment="1">
      <alignment wrapText="1" readingOrder="1"/>
    </xf>
    <xf numFmtId="43" fontId="6" fillId="8" borderId="0" xfId="3" applyNumberFormat="1" applyFont="1" applyFill="1"/>
    <xf numFmtId="0" fontId="6" fillId="0" borderId="0" xfId="3" applyFont="1" applyAlignment="1">
      <alignment horizontal="center"/>
    </xf>
    <xf numFmtId="0" fontId="3" fillId="0" borderId="0" xfId="9"/>
    <xf numFmtId="43" fontId="0" fillId="0" borderId="0" xfId="10" applyFont="1" applyFill="1"/>
    <xf numFmtId="43" fontId="3" fillId="0" borderId="0" xfId="10" applyFill="1"/>
    <xf numFmtId="0" fontId="3" fillId="0" borderId="0" xfId="11"/>
    <xf numFmtId="43" fontId="0" fillId="0" borderId="5" xfId="10" applyFont="1" applyFill="1" applyBorder="1" applyAlignment="1">
      <alignment horizontal="center"/>
    </xf>
    <xf numFmtId="43" fontId="0" fillId="16" borderId="0" xfId="10" applyFont="1" applyFill="1"/>
    <xf numFmtId="43" fontId="0" fillId="8" borderId="0" xfId="10" applyFont="1" applyFill="1"/>
    <xf numFmtId="0" fontId="3" fillId="16" borderId="0" xfId="9" applyFill="1"/>
    <xf numFmtId="0" fontId="3" fillId="0" borderId="6" xfId="11" applyBorder="1"/>
    <xf numFmtId="0" fontId="3" fillId="0" borderId="0" xfId="11" applyAlignment="1">
      <alignment horizontal="center"/>
    </xf>
    <xf numFmtId="0" fontId="3" fillId="0" borderId="7" xfId="11" applyBorder="1" applyAlignment="1">
      <alignment horizontal="center"/>
    </xf>
    <xf numFmtId="0" fontId="3" fillId="0" borderId="7" xfId="11" applyBorder="1"/>
    <xf numFmtId="166" fontId="3" fillId="0" borderId="7" xfId="11" applyNumberFormat="1" applyBorder="1"/>
    <xf numFmtId="0" fontId="3" fillId="0" borderId="6" xfId="11" applyBorder="1" applyAlignment="1">
      <alignment horizontal="center"/>
    </xf>
    <xf numFmtId="0" fontId="3" fillId="0" borderId="0" xfId="11" applyAlignment="1">
      <alignment horizontal="left"/>
    </xf>
    <xf numFmtId="0" fontId="3" fillId="0" borderId="8" xfId="11" applyBorder="1"/>
    <xf numFmtId="0" fontId="3" fillId="0" borderId="9" xfId="11" applyBorder="1"/>
    <xf numFmtId="0" fontId="3" fillId="0" borderId="10" xfId="11" applyBorder="1" applyAlignment="1">
      <alignment horizontal="center"/>
    </xf>
    <xf numFmtId="0" fontId="3" fillId="0" borderId="8" xfId="11" applyBorder="1" applyAlignment="1">
      <alignment horizontal="center"/>
    </xf>
    <xf numFmtId="166" fontId="3" fillId="0" borderId="8" xfId="11" applyNumberFormat="1" applyBorder="1"/>
    <xf numFmtId="0" fontId="3" fillId="0" borderId="9" xfId="11" applyBorder="1" applyAlignment="1">
      <alignment horizontal="center"/>
    </xf>
    <xf numFmtId="0" fontId="3" fillId="0" borderId="10" xfId="11" applyBorder="1" applyAlignment="1">
      <alignment horizontal="left"/>
    </xf>
    <xf numFmtId="49" fontId="25" fillId="0" borderId="6" xfId="11" applyNumberFormat="1" applyFont="1" applyBorder="1"/>
    <xf numFmtId="0" fontId="25" fillId="0" borderId="0" xfId="11" applyFont="1"/>
    <xf numFmtId="166" fontId="25" fillId="0" borderId="11" xfId="11" applyNumberFormat="1" applyFont="1" applyBorder="1"/>
    <xf numFmtId="166" fontId="25" fillId="0" borderId="0" xfId="11" applyNumberFormat="1" applyFont="1"/>
    <xf numFmtId="166" fontId="25" fillId="0" borderId="12" xfId="11" applyNumberFormat="1" applyFont="1" applyBorder="1"/>
    <xf numFmtId="166" fontId="25" fillId="0" borderId="7" xfId="11" applyNumberFormat="1" applyFont="1" applyBorder="1"/>
    <xf numFmtId="166" fontId="25" fillId="0" borderId="6" xfId="11" applyNumberFormat="1" applyFont="1" applyBorder="1"/>
    <xf numFmtId="166" fontId="25" fillId="0" borderId="13" xfId="11" applyNumberFormat="1" applyFont="1" applyBorder="1"/>
    <xf numFmtId="0" fontId="25" fillId="0" borderId="6" xfId="11" applyFont="1" applyBorder="1"/>
    <xf numFmtId="0" fontId="25" fillId="0" borderId="0" xfId="11" applyFont="1" applyAlignment="1">
      <alignment horizontal="center"/>
    </xf>
    <xf numFmtId="0" fontId="25" fillId="0" borderId="7" xfId="11" applyFont="1" applyBorder="1" applyAlignment="1">
      <alignment horizontal="center"/>
    </xf>
    <xf numFmtId="4" fontId="25" fillId="0" borderId="7" xfId="11" applyNumberFormat="1" applyFont="1" applyBorder="1"/>
    <xf numFmtId="0" fontId="25" fillId="0" borderId="11" xfId="11" applyFont="1" applyBorder="1"/>
    <xf numFmtId="0" fontId="25" fillId="0" borderId="7" xfId="11" applyFont="1" applyBorder="1"/>
    <xf numFmtId="0" fontId="25" fillId="0" borderId="7" xfId="11" applyFont="1" applyBorder="1" applyAlignment="1">
      <alignment horizontal="center" vertical="center"/>
    </xf>
    <xf numFmtId="3" fontId="25" fillId="0" borderId="7" xfId="11" applyNumberFormat="1" applyFont="1" applyBorder="1"/>
    <xf numFmtId="3" fontId="25" fillId="0" borderId="6" xfId="11" applyNumberFormat="1" applyFont="1" applyBorder="1"/>
    <xf numFmtId="0" fontId="25" fillId="0" borderId="6" xfId="11" applyFont="1" applyBorder="1" applyAlignment="1">
      <alignment horizontal="center"/>
    </xf>
    <xf numFmtId="0" fontId="23" fillId="0" borderId="0" xfId="11" applyFont="1" applyAlignment="1">
      <alignment horizontal="left"/>
    </xf>
    <xf numFmtId="166" fontId="25" fillId="0" borderId="14" xfId="11" applyNumberFormat="1" applyFont="1" applyBorder="1"/>
    <xf numFmtId="0" fontId="27" fillId="0" borderId="6" xfId="11" applyFont="1" applyBorder="1" applyAlignment="1">
      <alignment horizontal="center"/>
    </xf>
    <xf numFmtId="0" fontId="28" fillId="0" borderId="0" xfId="11" applyFont="1" applyAlignment="1">
      <alignment horizontal="left"/>
    </xf>
    <xf numFmtId="0" fontId="29" fillId="0" borderId="0" xfId="11" applyFont="1" applyAlignment="1">
      <alignment horizontal="left"/>
    </xf>
    <xf numFmtId="166" fontId="23" fillId="0" borderId="7" xfId="12" applyNumberFormat="1" applyFont="1" applyFill="1" applyBorder="1"/>
    <xf numFmtId="166" fontId="23" fillId="0" borderId="6" xfId="12" applyNumberFormat="1" applyFont="1" applyFill="1" applyBorder="1"/>
    <xf numFmtId="0" fontId="23" fillId="0" borderId="0" xfId="11" applyFont="1" applyAlignment="1">
      <alignment horizontal="center"/>
    </xf>
    <xf numFmtId="0" fontId="23" fillId="0" borderId="7" xfId="11" applyFont="1" applyBorder="1" applyAlignment="1">
      <alignment horizontal="center"/>
    </xf>
    <xf numFmtId="0" fontId="23" fillId="0" borderId="7" xfId="11" applyFont="1" applyBorder="1"/>
    <xf numFmtId="166" fontId="23" fillId="0" borderId="7" xfId="11" applyNumberFormat="1" applyFont="1" applyBorder="1"/>
    <xf numFmtId="166" fontId="23" fillId="0" borderId="15" xfId="12" applyNumberFormat="1" applyFont="1" applyFill="1" applyBorder="1"/>
    <xf numFmtId="166" fontId="23" fillId="0" borderId="16" xfId="12" applyNumberFormat="1" applyFont="1" applyFill="1" applyBorder="1"/>
    <xf numFmtId="166" fontId="23" fillId="0" borderId="17" xfId="12" applyNumberFormat="1" applyFont="1" applyFill="1" applyBorder="1"/>
    <xf numFmtId="166" fontId="23" fillId="0" borderId="18" xfId="12" applyNumberFormat="1" applyFont="1" applyFill="1" applyBorder="1"/>
    <xf numFmtId="166" fontId="23" fillId="0" borderId="19" xfId="12" applyNumberFormat="1" applyFont="1" applyFill="1" applyBorder="1"/>
    <xf numFmtId="0" fontId="23" fillId="0" borderId="0" xfId="11" applyFont="1" applyAlignment="1">
      <alignment horizontal="right"/>
    </xf>
    <xf numFmtId="3" fontId="3" fillId="0" borderId="20" xfId="11" applyNumberFormat="1" applyBorder="1"/>
    <xf numFmtId="3" fontId="3" fillId="0" borderId="21" xfId="11" applyNumberFormat="1" applyBorder="1"/>
    <xf numFmtId="3" fontId="3" fillId="0" borderId="22" xfId="11" applyNumberFormat="1" applyBorder="1"/>
    <xf numFmtId="3" fontId="3" fillId="0" borderId="23" xfId="11" applyNumberFormat="1" applyBorder="1"/>
    <xf numFmtId="3" fontId="3" fillId="0" borderId="24" xfId="11" applyNumberFormat="1" applyBorder="1"/>
    <xf numFmtId="4" fontId="3" fillId="0" borderId="7" xfId="11" applyNumberFormat="1" applyBorder="1"/>
    <xf numFmtId="166" fontId="3" fillId="0" borderId="11" xfId="11" applyNumberFormat="1" applyBorder="1"/>
    <xf numFmtId="166" fontId="3" fillId="0" borderId="0" xfId="11" applyNumberFormat="1"/>
    <xf numFmtId="166" fontId="3" fillId="0" borderId="13" xfId="11" applyNumberFormat="1" applyBorder="1"/>
    <xf numFmtId="166" fontId="24" fillId="17" borderId="13" xfId="8" applyNumberFormat="1" applyBorder="1"/>
    <xf numFmtId="0" fontId="23" fillId="0" borderId="0" xfId="11" applyFont="1"/>
    <xf numFmtId="0" fontId="23" fillId="0" borderId="6" xfId="11" applyFont="1" applyBorder="1"/>
    <xf numFmtId="49" fontId="3" fillId="0" borderId="6" xfId="11" applyNumberFormat="1" applyBorder="1"/>
    <xf numFmtId="166" fontId="3" fillId="0" borderId="6" xfId="11" applyNumberFormat="1" applyBorder="1"/>
    <xf numFmtId="166" fontId="3" fillId="0" borderId="12" xfId="11" applyNumberFormat="1" applyBorder="1"/>
    <xf numFmtId="166" fontId="3" fillId="0" borderId="25" xfId="11" applyNumberFormat="1" applyBorder="1"/>
    <xf numFmtId="3" fontId="3" fillId="0" borderId="6" xfId="11" applyNumberFormat="1" applyBorder="1"/>
    <xf numFmtId="0" fontId="3" fillId="0" borderId="11" xfId="11" applyBorder="1"/>
    <xf numFmtId="0" fontId="3" fillId="0" borderId="7" xfId="11" applyBorder="1" applyAlignment="1">
      <alignment horizontal="center" vertical="center"/>
    </xf>
    <xf numFmtId="166" fontId="3" fillId="0" borderId="14" xfId="11" applyNumberFormat="1" applyBorder="1"/>
    <xf numFmtId="0" fontId="30" fillId="0" borderId="0" xfId="11" applyFont="1" applyAlignment="1">
      <alignment horizontal="left"/>
    </xf>
    <xf numFmtId="0" fontId="3" fillId="0" borderId="13" xfId="11" applyBorder="1"/>
    <xf numFmtId="0" fontId="31" fillId="0" borderId="0" xfId="11" applyFont="1"/>
    <xf numFmtId="42" fontId="0" fillId="0" borderId="11" xfId="12" applyNumberFormat="1" applyFont="1" applyFill="1" applyBorder="1"/>
    <xf numFmtId="0" fontId="31" fillId="0" borderId="6" xfId="11" applyFont="1" applyBorder="1"/>
    <xf numFmtId="49" fontId="3" fillId="0" borderId="0" xfId="11" applyNumberFormat="1"/>
    <xf numFmtId="0" fontId="32" fillId="0" borderId="6" xfId="11" applyFont="1" applyBorder="1" applyAlignment="1">
      <alignment horizontal="left"/>
    </xf>
    <xf numFmtId="0" fontId="32" fillId="0" borderId="0" xfId="11" applyFont="1" applyAlignment="1">
      <alignment horizontal="left"/>
    </xf>
    <xf numFmtId="49" fontId="3" fillId="0" borderId="7" xfId="11" applyNumberFormat="1" applyBorder="1" applyAlignment="1">
      <alignment horizontal="center"/>
    </xf>
    <xf numFmtId="0" fontId="26" fillId="0" borderId="7" xfId="11" applyFont="1" applyBorder="1" applyAlignment="1">
      <alignment horizontal="center"/>
    </xf>
    <xf numFmtId="166" fontId="24" fillId="17" borderId="14" xfId="8" applyNumberFormat="1" applyBorder="1"/>
    <xf numFmtId="166" fontId="33" fillId="0" borderId="11" xfId="11" applyNumberFormat="1" applyFont="1" applyBorder="1"/>
    <xf numFmtId="166" fontId="33" fillId="0" borderId="0" xfId="11" applyNumberFormat="1" applyFont="1"/>
    <xf numFmtId="166" fontId="33" fillId="0" borderId="12" xfId="11" applyNumberFormat="1" applyFont="1" applyBorder="1"/>
    <xf numFmtId="166" fontId="33" fillId="0" borderId="7" xfId="11" applyNumberFormat="1" applyFont="1" applyBorder="1"/>
    <xf numFmtId="166" fontId="33" fillId="0" borderId="6" xfId="11" applyNumberFormat="1" applyFont="1" applyBorder="1"/>
    <xf numFmtId="166" fontId="33" fillId="0" borderId="14" xfId="11" applyNumberFormat="1" applyFont="1" applyBorder="1"/>
    <xf numFmtId="0" fontId="33" fillId="0" borderId="6" xfId="11" applyFont="1" applyBorder="1"/>
    <xf numFmtId="0" fontId="33" fillId="0" borderId="0" xfId="11" applyFont="1" applyAlignment="1">
      <alignment horizontal="center"/>
    </xf>
    <xf numFmtId="0" fontId="33" fillId="0" borderId="7" xfId="11" applyFont="1" applyBorder="1" applyAlignment="1">
      <alignment horizontal="center"/>
    </xf>
    <xf numFmtId="0" fontId="26" fillId="0" borderId="6" xfId="11" applyFont="1" applyBorder="1" applyAlignment="1">
      <alignment horizontal="center"/>
    </xf>
    <xf numFmtId="166" fontId="23" fillId="0" borderId="11" xfId="11" applyNumberFormat="1" applyFont="1" applyBorder="1" applyAlignment="1">
      <alignment horizontal="center"/>
    </xf>
    <xf numFmtId="166" fontId="23" fillId="0" borderId="0" xfId="11" applyNumberFormat="1" applyFont="1" applyAlignment="1">
      <alignment horizontal="center"/>
    </xf>
    <xf numFmtId="166" fontId="23" fillId="0" borderId="26" xfId="11" applyNumberFormat="1" applyFont="1" applyBorder="1" applyAlignment="1">
      <alignment horizontal="center"/>
    </xf>
    <xf numFmtId="166" fontId="23" fillId="0" borderId="27" xfId="11" applyNumberFormat="1" applyFont="1" applyBorder="1" applyAlignment="1">
      <alignment horizontal="center"/>
    </xf>
    <xf numFmtId="166" fontId="23" fillId="0" borderId="28" xfId="11" applyNumberFormat="1" applyFont="1" applyBorder="1" applyAlignment="1">
      <alignment horizontal="center"/>
    </xf>
    <xf numFmtId="166" fontId="23" fillId="0" borderId="14" xfId="11" applyNumberFormat="1" applyFont="1" applyBorder="1" applyAlignment="1">
      <alignment horizontal="center"/>
    </xf>
    <xf numFmtId="0" fontId="23" fillId="0" borderId="6" xfId="11" applyFont="1" applyBorder="1" applyAlignment="1">
      <alignment horizontal="center" wrapText="1"/>
    </xf>
    <xf numFmtId="0" fontId="23" fillId="0" borderId="0" xfId="11" applyFont="1" applyAlignment="1">
      <alignment horizontal="center" wrapText="1"/>
    </xf>
    <xf numFmtId="166" fontId="23" fillId="0" borderId="7" xfId="11" applyNumberFormat="1" applyFont="1" applyBorder="1" applyAlignment="1">
      <alignment horizontal="center"/>
    </xf>
    <xf numFmtId="0" fontId="23" fillId="0" borderId="6" xfId="11" applyFont="1" applyBorder="1" applyAlignment="1">
      <alignment horizontal="center"/>
    </xf>
    <xf numFmtId="0" fontId="30" fillId="0" borderId="29" xfId="11" applyFont="1" applyBorder="1" applyAlignment="1">
      <alignment horizontal="left"/>
    </xf>
    <xf numFmtId="0" fontId="30" fillId="0" borderId="30" xfId="11" applyFont="1" applyBorder="1" applyAlignment="1">
      <alignment horizontal="center"/>
    </xf>
    <xf numFmtId="0" fontId="30" fillId="0" borderId="31" xfId="11" applyFont="1" applyBorder="1"/>
    <xf numFmtId="0" fontId="30" fillId="0" borderId="32" xfId="11" applyFont="1" applyBorder="1" applyAlignment="1">
      <alignment horizontal="center"/>
    </xf>
    <xf numFmtId="0" fontId="30" fillId="0" borderId="33" xfId="11" applyFont="1" applyBorder="1" applyAlignment="1">
      <alignment horizontal="center"/>
    </xf>
    <xf numFmtId="0" fontId="30" fillId="0" borderId="34" xfId="11" applyFont="1" applyBorder="1" applyAlignment="1">
      <alignment horizontal="center"/>
    </xf>
    <xf numFmtId="0" fontId="30" fillId="0" borderId="35" xfId="11" applyFont="1" applyBorder="1" applyAlignment="1">
      <alignment horizontal="center" wrapText="1"/>
    </xf>
    <xf numFmtId="0" fontId="30" fillId="0" borderId="5" xfId="11" applyFont="1" applyBorder="1" applyAlignment="1">
      <alignment horizontal="center" wrapText="1"/>
    </xf>
    <xf numFmtId="0" fontId="30" fillId="0" borderId="36" xfId="11" applyFont="1" applyBorder="1" applyAlignment="1">
      <alignment horizontal="center"/>
    </xf>
    <xf numFmtId="0" fontId="34" fillId="0" borderId="36" xfId="11" applyFont="1" applyBorder="1" applyAlignment="1">
      <alignment horizontal="center" wrapText="1"/>
    </xf>
    <xf numFmtId="166" fontId="30" fillId="0" borderId="36" xfId="11" applyNumberFormat="1" applyFont="1" applyBorder="1" applyAlignment="1">
      <alignment horizontal="center" wrapText="1"/>
    </xf>
    <xf numFmtId="0" fontId="30" fillId="0" borderId="36" xfId="11" applyFont="1" applyBorder="1" applyAlignment="1">
      <alignment horizontal="center" wrapText="1"/>
    </xf>
    <xf numFmtId="0" fontId="30" fillId="0" borderId="2" xfId="11" applyFont="1" applyBorder="1" applyAlignment="1">
      <alignment horizontal="left"/>
    </xf>
    <xf numFmtId="0" fontId="3" fillId="0" borderId="35" xfId="11" applyBorder="1"/>
    <xf numFmtId="0" fontId="3" fillId="0" borderId="5" xfId="11" applyBorder="1" applyAlignment="1">
      <alignment horizontal="center"/>
    </xf>
    <xf numFmtId="0" fontId="3" fillId="0" borderId="5" xfId="11" applyBorder="1"/>
    <xf numFmtId="166" fontId="3" fillId="0" borderId="5" xfId="11" applyNumberFormat="1" applyBorder="1"/>
    <xf numFmtId="0" fontId="30" fillId="0" borderId="0" xfId="11" applyFont="1"/>
    <xf numFmtId="43" fontId="6" fillId="0" borderId="0" xfId="1" applyFont="1"/>
    <xf numFmtId="0" fontId="36" fillId="0" borderId="0" xfId="0" applyFont="1"/>
    <xf numFmtId="0" fontId="16" fillId="0" borderId="0" xfId="0" applyFont="1" applyAlignment="1">
      <alignment vertical="center"/>
    </xf>
    <xf numFmtId="0" fontId="16" fillId="4" borderId="0" xfId="0" applyFont="1" applyFill="1" applyAlignment="1">
      <alignment vertical="center"/>
    </xf>
    <xf numFmtId="7" fontId="16" fillId="4" borderId="0" xfId="0" applyNumberFormat="1" applyFont="1" applyFill="1" applyAlignment="1">
      <alignment vertical="center"/>
    </xf>
    <xf numFmtId="0" fontId="16" fillId="16" borderId="0" xfId="0" applyFont="1" applyFill="1" applyAlignment="1">
      <alignment vertical="center"/>
    </xf>
    <xf numFmtId="7" fontId="16" fillId="0" borderId="0" xfId="0" applyNumberFormat="1" applyFont="1" applyAlignment="1">
      <alignment vertical="center"/>
    </xf>
    <xf numFmtId="0" fontId="16" fillId="16" borderId="0" xfId="0" applyFont="1" applyFill="1" applyAlignment="1">
      <alignment horizontal="left" vertical="center"/>
    </xf>
    <xf numFmtId="7" fontId="10" fillId="13" borderId="0" xfId="1" applyNumberFormat="1" applyFont="1" applyFill="1"/>
    <xf numFmtId="0" fontId="16" fillId="0" borderId="0" xfId="0" applyFont="1"/>
    <xf numFmtId="0" fontId="16" fillId="4" borderId="0" xfId="0" applyFont="1" applyFill="1"/>
    <xf numFmtId="7" fontId="16" fillId="4" borderId="0" xfId="0" applyNumberFormat="1" applyFont="1" applyFill="1"/>
    <xf numFmtId="0" fontId="16" fillId="16" borderId="0" xfId="0" applyFont="1" applyFill="1"/>
    <xf numFmtId="7" fontId="16" fillId="0" borderId="0" xfId="0" applyNumberFormat="1" applyFont="1"/>
    <xf numFmtId="0" fontId="6" fillId="0" borderId="0" xfId="0" applyFont="1" applyAlignment="1">
      <alignment horizontal="center"/>
    </xf>
    <xf numFmtId="9" fontId="6" fillId="0" borderId="0" xfId="13" applyFont="1"/>
    <xf numFmtId="43" fontId="6" fillId="0" borderId="0" xfId="0" applyNumberFormat="1" applyFont="1"/>
    <xf numFmtId="43" fontId="6" fillId="8" borderId="0" xfId="1" applyFont="1" applyFill="1"/>
    <xf numFmtId="43" fontId="37" fillId="0" borderId="0" xfId="1" applyFont="1"/>
    <xf numFmtId="0" fontId="37" fillId="0" borderId="0" xfId="0" applyFont="1" applyAlignment="1">
      <alignment horizontal="center"/>
    </xf>
    <xf numFmtId="9" fontId="6" fillId="0" borderId="0" xfId="0" applyNumberFormat="1" applyFont="1"/>
    <xf numFmtId="0" fontId="39" fillId="0" borderId="0" xfId="0" applyFont="1"/>
    <xf numFmtId="43" fontId="38" fillId="0" borderId="0" xfId="0" applyNumberFormat="1" applyFont="1"/>
    <xf numFmtId="0" fontId="6" fillId="0" borderId="0" xfId="0" quotePrefix="1" applyFont="1" applyAlignment="1">
      <alignment horizontal="center"/>
    </xf>
    <xf numFmtId="9" fontId="37" fillId="0" borderId="0" xfId="13" applyFont="1"/>
    <xf numFmtId="43" fontId="38" fillId="8" borderId="37" xfId="0" applyNumberFormat="1" applyFont="1" applyFill="1" applyBorder="1"/>
    <xf numFmtId="0" fontId="8" fillId="0" borderId="0" xfId="0" applyFont="1" applyAlignment="1">
      <alignment vertical="top" readingOrder="1"/>
    </xf>
    <xf numFmtId="7" fontId="10" fillId="15" borderId="0" xfId="1" applyNumberFormat="1" applyFont="1" applyFill="1"/>
    <xf numFmtId="0" fontId="8" fillId="15" borderId="0" xfId="0" applyFont="1" applyFill="1" applyAlignment="1">
      <alignment vertical="top" wrapText="1" readingOrder="1"/>
    </xf>
    <xf numFmtId="0" fontId="2" fillId="0" borderId="0" xfId="9" applyFont="1"/>
    <xf numFmtId="43" fontId="6" fillId="15" borderId="0" xfId="1" applyFont="1" applyFill="1"/>
    <xf numFmtId="43" fontId="6" fillId="15" borderId="0" xfId="1" quotePrefix="1" applyFont="1" applyFill="1"/>
    <xf numFmtId="0" fontId="6" fillId="15" borderId="0" xfId="0" quotePrefix="1" applyFont="1" applyFill="1"/>
    <xf numFmtId="0" fontId="6" fillId="15" borderId="0" xfId="0" applyFont="1" applyFill="1" applyAlignment="1">
      <alignment horizontal="right"/>
    </xf>
    <xf numFmtId="10" fontId="6" fillId="15" borderId="0" xfId="13" applyNumberFormat="1" applyFont="1" applyFill="1"/>
    <xf numFmtId="43" fontId="6" fillId="15" borderId="0" xfId="0" applyNumberFormat="1" applyFont="1" applyFill="1"/>
    <xf numFmtId="0" fontId="41" fillId="15" borderId="0" xfId="0" applyFont="1" applyFill="1"/>
    <xf numFmtId="0" fontId="41" fillId="15" borderId="0" xfId="0" applyFont="1" applyFill="1" applyAlignment="1">
      <alignment horizontal="center"/>
    </xf>
    <xf numFmtId="0" fontId="42" fillId="15" borderId="0" xfId="0" applyFont="1" applyFill="1" applyAlignment="1">
      <alignment horizontal="right"/>
    </xf>
    <xf numFmtId="42" fontId="41" fillId="15" borderId="0" xfId="2" applyNumberFormat="1" applyFont="1" applyFill="1"/>
    <xf numFmtId="44" fontId="41" fillId="15" borderId="0" xfId="2" applyFont="1" applyFill="1"/>
    <xf numFmtId="0" fontId="42" fillId="15" borderId="0" xfId="0" applyFont="1" applyFill="1"/>
    <xf numFmtId="0" fontId="43" fillId="15" borderId="0" xfId="0" applyFont="1" applyFill="1"/>
    <xf numFmtId="0" fontId="41" fillId="15" borderId="0" xfId="0" applyFont="1" applyFill="1" applyAlignment="1">
      <alignment horizontal="right"/>
    </xf>
    <xf numFmtId="43" fontId="41" fillId="15" borderId="0" xfId="1" applyFont="1" applyFill="1"/>
    <xf numFmtId="43" fontId="10" fillId="18" borderId="0" xfId="1" applyFont="1" applyFill="1"/>
    <xf numFmtId="165" fontId="12" fillId="18" borderId="0" xfId="0" applyNumberFormat="1" applyFont="1" applyFill="1" applyAlignment="1">
      <alignment wrapText="1" readingOrder="1"/>
    </xf>
    <xf numFmtId="0" fontId="8" fillId="18" borderId="0" xfId="0" applyFont="1" applyFill="1" applyAlignment="1">
      <alignment vertical="top" wrapText="1" readingOrder="1"/>
    </xf>
    <xf numFmtId="165" fontId="12" fillId="18" borderId="0" xfId="1" applyNumberFormat="1" applyFont="1" applyFill="1" applyAlignment="1">
      <alignment wrapText="1" readingOrder="1"/>
    </xf>
    <xf numFmtId="0" fontId="16" fillId="18" borderId="0" xfId="0" applyFont="1" applyFill="1" applyAlignment="1">
      <alignment vertical="center"/>
    </xf>
    <xf numFmtId="0" fontId="7" fillId="18" borderId="0" xfId="0" applyFont="1" applyFill="1" applyAlignment="1">
      <alignment wrapText="1" readingOrder="1"/>
    </xf>
    <xf numFmtId="7" fontId="7" fillId="18" borderId="0" xfId="0" applyNumberFormat="1" applyFont="1" applyFill="1" applyAlignment="1">
      <alignment wrapText="1" readingOrder="1"/>
    </xf>
    <xf numFmtId="7" fontId="7" fillId="18" borderId="0" xfId="0" applyNumberFormat="1" applyFont="1" applyFill="1" applyAlignment="1">
      <alignment vertical="center" wrapText="1" readingOrder="1"/>
    </xf>
    <xf numFmtId="165" fontId="7" fillId="18" borderId="0" xfId="0" applyNumberFormat="1" applyFont="1" applyFill="1" applyAlignment="1">
      <alignment wrapText="1" readingOrder="1"/>
    </xf>
    <xf numFmtId="0" fontId="6" fillId="18" borderId="0" xfId="0" applyFont="1" applyFill="1"/>
    <xf numFmtId="0" fontId="6" fillId="0" borderId="0" xfId="0" applyFont="1" applyAlignment="1">
      <alignment vertical="center" textRotation="90"/>
    </xf>
    <xf numFmtId="7" fontId="16" fillId="16" borderId="0" xfId="0" applyNumberFormat="1" applyFont="1" applyFill="1"/>
    <xf numFmtId="0" fontId="16" fillId="15" borderId="0" xfId="0" applyFont="1" applyFill="1"/>
    <xf numFmtId="0" fontId="16" fillId="13" borderId="0" xfId="0" applyFont="1" applyFill="1"/>
    <xf numFmtId="0" fontId="12" fillId="13" borderId="0" xfId="0" applyFont="1" applyFill="1"/>
    <xf numFmtId="7" fontId="6" fillId="16" borderId="0" xfId="0" applyNumberFormat="1" applyFont="1" applyFill="1"/>
    <xf numFmtId="164" fontId="8" fillId="15" borderId="0" xfId="0" applyNumberFormat="1" applyFont="1" applyFill="1" applyAlignment="1">
      <alignment vertical="top" wrapText="1" readingOrder="1"/>
    </xf>
    <xf numFmtId="0" fontId="1" fillId="0" borderId="0" xfId="9" applyFont="1"/>
    <xf numFmtId="164" fontId="7" fillId="15" borderId="0" xfId="0" applyNumberFormat="1" applyFont="1" applyFill="1" applyAlignment="1">
      <alignment vertical="top" wrapText="1" readingOrder="1"/>
    </xf>
    <xf numFmtId="0" fontId="7" fillId="15" borderId="0" xfId="0" applyFont="1" applyFill="1" applyAlignment="1">
      <alignment vertical="top" wrapText="1" readingOrder="1"/>
    </xf>
    <xf numFmtId="0" fontId="16" fillId="15" borderId="0" xfId="0" applyFont="1" applyFill="1" applyAlignment="1">
      <alignment vertical="center"/>
    </xf>
    <xf numFmtId="43" fontId="16" fillId="0" borderId="0" xfId="0" applyNumberFormat="1" applyFont="1"/>
    <xf numFmtId="164" fontId="8" fillId="15" borderId="0" xfId="0" applyNumberFormat="1" applyFont="1" applyFill="1" applyAlignment="1">
      <alignment horizontal="right" vertical="top" wrapText="1" readingOrder="1"/>
    </xf>
    <xf numFmtId="0" fontId="6" fillId="15" borderId="0" xfId="3" applyFont="1" applyFill="1"/>
    <xf numFmtId="0" fontId="6" fillId="14" borderId="0" xfId="3" applyFont="1" applyFill="1"/>
    <xf numFmtId="0" fontId="38" fillId="14" borderId="5" xfId="3" applyFont="1" applyFill="1" applyBorder="1" applyAlignment="1">
      <alignment horizontal="center"/>
    </xf>
    <xf numFmtId="0" fontId="38" fillId="14" borderId="0" xfId="3" applyFont="1" applyFill="1"/>
    <xf numFmtId="0" fontId="46" fillId="14" borderId="0" xfId="3" applyFont="1" applyFill="1" applyAlignment="1">
      <alignment horizontal="center"/>
    </xf>
    <xf numFmtId="43" fontId="46" fillId="14" borderId="0" xfId="4" applyFont="1" applyFill="1" applyAlignment="1"/>
    <xf numFmtId="0" fontId="46" fillId="14" borderId="0" xfId="3" applyFont="1" applyFill="1"/>
    <xf numFmtId="43" fontId="46" fillId="14" borderId="0" xfId="4" applyFont="1" applyFill="1"/>
    <xf numFmtId="43" fontId="38" fillId="14" borderId="0" xfId="3" applyNumberFormat="1" applyFont="1" applyFill="1"/>
    <xf numFmtId="0" fontId="6" fillId="8" borderId="0" xfId="0" applyFont="1" applyFill="1"/>
    <xf numFmtId="0" fontId="6" fillId="19" borderId="0" xfId="0" applyFont="1" applyFill="1"/>
    <xf numFmtId="0" fontId="3" fillId="0" borderId="5" xfId="9" applyBorder="1" applyAlignment="1">
      <alignment horizontal="center"/>
    </xf>
    <xf numFmtId="0" fontId="3" fillId="0" borderId="0" xfId="9" applyAlignment="1">
      <alignment horizontal="center" vertical="center"/>
    </xf>
    <xf numFmtId="0" fontId="3" fillId="0" borderId="0" xfId="11" applyAlignment="1">
      <alignment horizontal="center" vertical="center"/>
    </xf>
    <xf numFmtId="0" fontId="3" fillId="0" borderId="0" xfId="9" applyAlignment="1">
      <alignment horizontal="left" vertical="center"/>
    </xf>
    <xf numFmtId="0" fontId="3" fillId="0" borderId="0" xfId="9" applyAlignment="1">
      <alignment vertical="center"/>
    </xf>
    <xf numFmtId="0" fontId="40" fillId="15" borderId="0" xfId="0" applyFont="1" applyFill="1" applyAlignment="1">
      <alignment horizontal="center"/>
    </xf>
    <xf numFmtId="0" fontId="38" fillId="15" borderId="0" xfId="0" applyFont="1" applyFill="1" applyAlignment="1">
      <alignment horizontal="center"/>
    </xf>
    <xf numFmtId="0" fontId="42" fillId="15" borderId="0" xfId="0" applyFont="1" applyFill="1" applyAlignment="1">
      <alignment horizontal="center"/>
    </xf>
    <xf numFmtId="42" fontId="42" fillId="15" borderId="0" xfId="2" applyNumberFormat="1" applyFont="1" applyFill="1" applyAlignment="1">
      <alignment horizontal="center"/>
    </xf>
    <xf numFmtId="0" fontId="15" fillId="0" borderId="0" xfId="0" applyFont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 readingOrder="1"/>
    </xf>
    <xf numFmtId="0" fontId="12" fillId="2" borderId="4" xfId="0" applyFont="1" applyFill="1" applyBorder="1" applyAlignment="1">
      <alignment horizontal="center" vertical="center" wrapText="1" readingOrder="1"/>
    </xf>
    <xf numFmtId="0" fontId="12" fillId="2" borderId="3" xfId="0" applyFont="1" applyFill="1" applyBorder="1" applyAlignment="1">
      <alignment horizontal="center" vertical="center" wrapText="1" readingOrder="1"/>
    </xf>
    <xf numFmtId="0" fontId="45" fillId="13" borderId="0" xfId="0" applyFont="1" applyFill="1" applyAlignment="1">
      <alignment horizontal="left"/>
    </xf>
    <xf numFmtId="0" fontId="35" fillId="0" borderId="0" xfId="0" applyFont="1" applyAlignment="1">
      <alignment horizontal="center" vertical="center"/>
    </xf>
    <xf numFmtId="0" fontId="6" fillId="0" borderId="0" xfId="0" applyFont="1"/>
    <xf numFmtId="0" fontId="19" fillId="0" borderId="0" xfId="0" applyFont="1" applyAlignment="1">
      <alignment horizontal="left" vertical="top" wrapText="1" readingOrder="1"/>
    </xf>
    <xf numFmtId="0" fontId="18" fillId="0" borderId="0" xfId="0" applyFont="1" applyAlignment="1">
      <alignment horizontal="left" vertical="top" wrapText="1" readingOrder="1"/>
    </xf>
    <xf numFmtId="0" fontId="17" fillId="2" borderId="0" xfId="0" applyFont="1" applyFill="1" applyAlignment="1">
      <alignment vertical="top" wrapText="1" readingOrder="1"/>
    </xf>
    <xf numFmtId="0" fontId="17" fillId="2" borderId="0" xfId="0" applyFont="1" applyFill="1" applyAlignment="1">
      <alignment horizontal="right" vertical="top" wrapText="1" readingOrder="1"/>
    </xf>
    <xf numFmtId="0" fontId="7" fillId="0" borderId="0" xfId="0" applyFont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164" fontId="8" fillId="0" borderId="0" xfId="0" applyNumberFormat="1" applyFont="1" applyAlignment="1">
      <alignment horizontal="right" vertical="top" wrapText="1" readingOrder="1"/>
    </xf>
    <xf numFmtId="164" fontId="7" fillId="0" borderId="0" xfId="0" applyNumberFormat="1" applyFont="1" applyAlignment="1">
      <alignment horizontal="right" vertical="top" wrapText="1" readingOrder="1"/>
    </xf>
  </cellXfs>
  <cellStyles count="14">
    <cellStyle name="Comma" xfId="1" builtinId="3"/>
    <cellStyle name="Comma 2" xfId="4" xr:uid="{BEFF5C43-2D1D-487F-A6E9-C60F6A23B33B}"/>
    <cellStyle name="Comma 3" xfId="6" xr:uid="{88B40598-3BE8-482E-BF71-7315AA077D45}"/>
    <cellStyle name="Comma 4" xfId="10" xr:uid="{A321B2B2-BA64-46AE-BBD1-40B43D0F3DD4}"/>
    <cellStyle name="Currency" xfId="2" builtinId="4"/>
    <cellStyle name="Currency 2" xfId="12" xr:uid="{2F6463EB-B4F8-454C-8844-D46A0A093EA9}"/>
    <cellStyle name="Good" xfId="8" builtinId="26"/>
    <cellStyle name="Normal" xfId="0" builtinId="0"/>
    <cellStyle name="Normal 2" xfId="3" xr:uid="{319683FE-E4B8-40E0-BB55-6937FF941636}"/>
    <cellStyle name="Normal 3" xfId="5" xr:uid="{F818FA2E-AA12-46BA-8C10-FE80075FD8DB}"/>
    <cellStyle name="Normal 4" xfId="7" xr:uid="{5F2545BA-3403-4086-B021-13FE13692883}"/>
    <cellStyle name="Normal 4 2" xfId="11" xr:uid="{9032A7F8-AAEC-4A8F-AC4F-10C1302774FA}"/>
    <cellStyle name="Normal 5" xfId="9" xr:uid="{F3E8E981-9514-40AC-A5B3-98BA4F651A45}"/>
    <cellStyle name="Percent" xfId="13" builtinId="5"/>
  </cellStyles>
  <dxfs count="1"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708090"/>
      <rgbColor rgb="00B0C4DE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300"/>
      <color rgb="FF333300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53E-4E09-A3A8-FC63B72075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53E-4E09-A3A8-FC63B720750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53E-4E09-A3A8-FC63B720750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253E-4E09-A3A8-FC63B720750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53E-4E09-A3A8-FC63B720750B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253E-4E09-A3A8-FC63B72075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53E-4E09-A3A8-FC63B720750B}"/>
              </c:ext>
            </c:extLst>
          </c:dPt>
          <c:dPt>
            <c:idx val="7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253E-4E09-A3A8-FC63B720750B}"/>
              </c:ext>
            </c:extLst>
          </c:dPt>
          <c:dPt>
            <c:idx val="8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253E-4E09-A3A8-FC63B720750B}"/>
              </c:ext>
            </c:extLst>
          </c:dPt>
          <c:dLbls>
            <c:dLbl>
              <c:idx val="0"/>
              <c:layout>
                <c:manualLayout>
                  <c:x val="-1.2252854358117515E-2"/>
                  <c:y val="-1.9164955509924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Grants </a:t>
                    </a:r>
                    <a:fld id="{C04026EE-BBCB-4449-BCE9-D97A43A29086}" type="PERCENTAGE">
                      <a:rPr lang="en-US"/>
                      <a:pPr>
                        <a:defRPr sz="1400">
                          <a:solidFill>
                            <a:schemeClr val="tx2">
                              <a:lumMod val="60000"/>
                              <a:lumOff val="40000"/>
                            </a:schemeClr>
                          </a:solidFill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53E-4E09-A3A8-FC63B720750B}"/>
                </c:ext>
              </c:extLst>
            </c:dLbl>
            <c:dLbl>
              <c:idx val="1"/>
              <c:layout>
                <c:manualLayout>
                  <c:x val="3.3416875522138678E-3"/>
                  <c:y val="-2.190280629705670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3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Goods/Services </a:t>
                    </a:r>
                    <a:fld id="{5958D125-139B-4D18-A674-783CBAAC4420}" type="PERCENTAGE">
                      <a:rPr lang="en-US"/>
                      <a:pPr>
                        <a:defRPr sz="14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3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253E-4E09-A3A8-FC63B720750B}"/>
                </c:ext>
              </c:extLst>
            </c:dLbl>
            <c:dLbl>
              <c:idx val="2"/>
              <c:layout>
                <c:manualLayout>
                  <c:x val="-2.2277917014759526E-3"/>
                  <c:y val="-4.106776180698151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rgbClr val="00B0F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Taxes </a:t>
                    </a:r>
                    <a:fld id="{BDE66129-A2EE-444C-B023-FBF7FD9DBD2F}" type="PERCENTAGE">
                      <a:rPr lang="en-US"/>
                      <a:pPr>
                        <a:defRPr sz="1400">
                          <a:solidFill>
                            <a:srgbClr val="00B0F0"/>
                          </a:solidFill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rgbClr val="00B0F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53E-4E09-A3A8-FC63B72075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3E-4E09-A3A8-FC63B72075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E-4E09-A3A8-FC63B720750B}"/>
                </c:ext>
              </c:extLst>
            </c:dLbl>
            <c:dLbl>
              <c:idx val="5"/>
              <c:layout>
                <c:manualLayout>
                  <c:x val="-1.0297133910892717E-2"/>
                  <c:y val="3.113539965615175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Fines, Penalties, Fees, Licesnse, Permits &lt;2% Each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253E-4E09-A3A8-FC63B72075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E-4E09-A3A8-FC63B72075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E-4E09-A3A8-FC63B720750B}"/>
                </c:ext>
              </c:extLst>
            </c:dLbl>
            <c:dLbl>
              <c:idx val="8"/>
              <c:layout>
                <c:manualLayout>
                  <c:x val="-5.5694792536898205E-3"/>
                  <c:y val="5.475701574264202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Misc </a:t>
                    </a:r>
                    <a:fld id="{E3F248F1-C914-4EBA-8B50-397FF540B089}" type="PERCENTAGE">
                      <a:rPr lang="en-US"/>
                      <a:pPr/>
                      <a:t>[PERCENTAGE]</a:t>
                    </a:fld>
                    <a:endParaRPr lang="en-U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53E-4E09-A3A8-FC63B72075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Dashboard!$AU$26:$AU$34</c:f>
              <c:strCache>
                <c:ptCount val="9"/>
                <c:pt idx="0">
                  <c:v>Grants</c:v>
                </c:pt>
                <c:pt idx="1">
                  <c:v>Goods/Services</c:v>
                </c:pt>
                <c:pt idx="2">
                  <c:v>Tax</c:v>
                </c:pt>
                <c:pt idx="3">
                  <c:v>Fines/Penalties</c:v>
                </c:pt>
                <c:pt idx="4">
                  <c:v>Transfers</c:v>
                </c:pt>
                <c:pt idx="5">
                  <c:v>Debt</c:v>
                </c:pt>
                <c:pt idx="6">
                  <c:v>Licenses/Permits</c:v>
                </c:pt>
                <c:pt idx="7">
                  <c:v>Fees</c:v>
                </c:pt>
                <c:pt idx="8">
                  <c:v>Miscellaneous</c:v>
                </c:pt>
              </c:strCache>
            </c:strRef>
          </c:cat>
          <c:val>
            <c:numRef>
              <c:f>Dashboard!$AV$26:$AV$34</c:f>
              <c:numCache>
                <c:formatCode>0.00%</c:formatCode>
                <c:ptCount val="9"/>
                <c:pt idx="0">
                  <c:v>0.27860872084957872</c:v>
                </c:pt>
                <c:pt idx="1">
                  <c:v>0.27521253374528998</c:v>
                </c:pt>
                <c:pt idx="2">
                  <c:v>0.24715849912992444</c:v>
                </c:pt>
                <c:pt idx="3">
                  <c:v>1.7155203366619944E-2</c:v>
                </c:pt>
                <c:pt idx="4">
                  <c:v>9.9152003452732812E-3</c:v>
                </c:pt>
                <c:pt idx="5">
                  <c:v>1.1440615783007632E-2</c:v>
                </c:pt>
                <c:pt idx="6">
                  <c:v>7.5644013005199849E-3</c:v>
                </c:pt>
                <c:pt idx="7">
                  <c:v>1.337598661963309E-3</c:v>
                </c:pt>
                <c:pt idx="8">
                  <c:v>0.15160722681782282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E-4E09-A3A8-FC63B72075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3A7-4E7A-B5E5-5B72B19D8A7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3A7-4E7A-B5E5-5B72B19D8A79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3A7-4E7A-B5E5-5B72B19D8A79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3A7-4E7A-B5E5-5B72B19D8A7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3A7-4E7A-B5E5-5B72B19D8A79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3A7-4E7A-B5E5-5B72B19D8A79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3A7-4E7A-B5E5-5B72B19D8A79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3A7-4E7A-B5E5-5B72B19D8A79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3A7-4E7A-B5E5-5B72B19D8A79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E3A7-4E7A-B5E5-5B72B19D8A79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3A7-4E7A-B5E5-5B72B19D8A79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E3A7-4E7A-B5E5-5B72B19D8A79}"/>
              </c:ext>
            </c:extLst>
          </c:dPt>
          <c:dPt>
            <c:idx val="1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3A7-4E7A-B5E5-5B72B19D8A79}"/>
              </c:ext>
            </c:extLst>
          </c:dPt>
          <c:dPt>
            <c:idx val="1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3A7-4E7A-B5E5-5B72B19D8A79}"/>
              </c:ext>
            </c:extLst>
          </c:dPt>
          <c:dPt>
            <c:idx val="1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E3A7-4E7A-B5E5-5B72B19D8A79}"/>
              </c:ext>
            </c:extLst>
          </c:dPt>
          <c:dPt>
            <c:idx val="15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3A7-4E7A-B5E5-5B72B19D8A79}"/>
              </c:ext>
            </c:extLst>
          </c:dPt>
          <c:dPt>
            <c:idx val="16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E3A7-4E7A-B5E5-5B72B19D8A79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/>
                      <a:t>Capital Expenditures </a:t>
                    </a:r>
                    <a:fld id="{DE6993AC-A86E-4EA7-955A-5A575ABB31BC}" type="PERCENTAGE">
                      <a:rPr lang="en-US" sz="1400"/>
                      <a:pPr>
                        <a:defRPr sz="1400"/>
                      </a:pPr>
                      <a:t>[PERCENTAGE]</a:t>
                    </a:fld>
                    <a:endParaRPr lang="en-US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6022473318152"/>
                      <c:h val="5.926428975664969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3A7-4E7A-B5E5-5B72B19D8A79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3"/>
                        </a:solidFill>
                      </a:rPr>
                      <a:t>Transfers </a:t>
                    </a:r>
                    <a:fld id="{5ABF1C00-3A35-4360-8BD5-98550FC98241}" type="PERCENTAGE">
                      <a:rPr lang="en-US" sz="1400">
                        <a:solidFill>
                          <a:schemeClr val="accent3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accent3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3A7-4E7A-B5E5-5B72B19D8A79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5"/>
                        </a:solidFill>
                      </a:rPr>
                      <a:t>Public Works </a:t>
                    </a:r>
                    <a:fld id="{9CB01B14-77D0-4838-BF72-DE136E4F4A82}" type="PERCENTAGE">
                      <a:rPr lang="en-US" sz="1400">
                        <a:solidFill>
                          <a:schemeClr val="accent5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accent5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3A7-4E7A-B5E5-5B72B19D8A79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tx2"/>
                        </a:solidFill>
                      </a:rPr>
                      <a:t>Police </a:t>
                    </a:r>
                    <a:fld id="{37CF097F-B239-40D7-BDCC-9AAA741C0CFC}" type="PERCENTAGE">
                      <a:rPr lang="en-US" sz="1400">
                        <a:solidFill>
                          <a:schemeClr val="tx2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tx2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3A7-4E7A-B5E5-5B72B19D8A79}"/>
                </c:ext>
              </c:extLst>
            </c:dLbl>
            <c:dLbl>
              <c:idx val="4"/>
              <c:layout>
                <c:manualLayout>
                  <c:x val="-3.0651340996168956E-3"/>
                  <c:y val="3.056351173947690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t>Debt Service </a:t>
                    </a:r>
                    <a:fld id="{268B30E5-6120-499B-B714-E760D40C7E84}" type="PERCENTAGE">
                      <a:rPr lang="en-US" sz="1400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accent3">
                          <a:lumMod val="50000"/>
                        </a:schemeClr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3A7-4E7A-B5E5-5B72B19D8A79}"/>
                </c:ext>
              </c:extLst>
            </c:dLbl>
            <c:dLbl>
              <c:idx val="5"/>
              <c:layout>
                <c:manualLayout>
                  <c:x val="-1.532567049808429E-2"/>
                  <c:y val="4.839222692083849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Parks/Recreation </a:t>
                    </a:r>
                    <a:fld id="{850C2157-A7DF-42B1-BDDF-DD01996CB3BB}" type="PERCENTAGE">
                      <a:rPr lang="en-US" sz="14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accent5">
                          <a:lumMod val="50000"/>
                        </a:schemeClr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3A7-4E7A-B5E5-5B72B19D8A79}"/>
                </c:ext>
              </c:extLst>
            </c:dLbl>
            <c:dLbl>
              <c:idx val="6"/>
              <c:layout>
                <c:manualLayout>
                  <c:x val="-2.1455938697318006E-2"/>
                  <c:y val="3.82043896743461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/>
                      <a:t>Non-departmental </a:t>
                    </a:r>
                    <a:fld id="{8D497B69-E958-4844-A7E7-572B4CEF0D6E}" type="PERCENTAGE">
                      <a:rPr lang="en-US" sz="1400"/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3A7-4E7A-B5E5-5B72B19D8A79}"/>
                </c:ext>
              </c:extLst>
            </c:dLbl>
            <c:dLbl>
              <c:idx val="7"/>
              <c:layout>
                <c:manualLayout>
                  <c:x val="-1.6740347774830543E-2"/>
                  <c:y val="2.00923314127329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3"/>
                        </a:solidFill>
                      </a:rPr>
                      <a:t>Planning/Community Development </a:t>
                    </a:r>
                    <a:fld id="{84A17AD1-704D-4452-A23A-2C641B58B277}" type="PERCENTAGE">
                      <a:rPr lang="en-US" sz="1400">
                        <a:solidFill>
                          <a:schemeClr val="accent3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accent3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810766028251775"/>
                      <c:h val="4.12097554019669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3A7-4E7A-B5E5-5B72B19D8A79}"/>
                </c:ext>
              </c:extLst>
            </c:dLbl>
            <c:dLbl>
              <c:idx val="8"/>
              <c:layout>
                <c:manualLayout>
                  <c:x val="-2.8607918263090677E-2"/>
                  <c:y val="2.546959311623102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5"/>
                        </a:solidFill>
                      </a:rPr>
                      <a:t>ARPA </a:t>
                    </a:r>
                    <a:fld id="{76192A6E-E0C6-475B-828E-7FCEFD5B3D1A}" type="PERCENTAGE">
                      <a:rPr lang="en-US" sz="1400">
                        <a:solidFill>
                          <a:schemeClr val="accent5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accent5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E3A7-4E7A-B5E5-5B72B19D8A79}"/>
                </c:ext>
              </c:extLst>
            </c:dLbl>
            <c:dLbl>
              <c:idx val="9"/>
              <c:layout>
                <c:manualLayout>
                  <c:x val="-2.7586206896551724E-2"/>
                  <c:y val="-4.07513489859692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tx2"/>
                        </a:solidFill>
                      </a:rPr>
                      <a:t>Municipal Court </a:t>
                    </a:r>
                    <a:fld id="{8D6B8012-AFF3-4CC6-9BA0-424BEC249B12}" type="PERCENTAGE">
                      <a:rPr lang="en-US" sz="1400">
                        <a:solidFill>
                          <a:schemeClr val="tx2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tx2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E3A7-4E7A-B5E5-5B72B19D8A79}"/>
                </c:ext>
              </c:extLst>
            </c:dLbl>
            <c:dLbl>
              <c:idx val="10"/>
              <c:layout>
                <c:manualLayout>
                  <c:x val="6.8454661558109753E-2"/>
                  <c:y val="-3.31104710511000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EBB1A99-099D-4F7F-B692-47811291E432}" type="CATEGORYNAME">
                      <a:rPr lang="en-US" sz="1200">
                        <a:solidFill>
                          <a:schemeClr val="accent3"/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>
                        <a:solidFill>
                          <a:schemeClr val="accent3"/>
                        </a:solidFill>
                      </a:rPr>
                      <a:t> .68%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E3A7-4E7A-B5E5-5B72B19D8A79}"/>
                </c:ext>
              </c:extLst>
            </c:dLbl>
            <c:dLbl>
              <c:idx val="11"/>
              <c:layout>
                <c:manualLayout>
                  <c:x val="9.9106033496476065E-2"/>
                  <c:y val="-1.414025284190940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565C98-6389-49AF-8F39-6B92C380E238}" type="CATEGORYNAME">
                      <a:rPr lang="en-US" sz="120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 .68%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E3A7-4E7A-B5E5-5B72B19D8A79}"/>
                </c:ext>
              </c:extLst>
            </c:dLbl>
            <c:dLbl>
              <c:idx val="12"/>
              <c:layout>
                <c:manualLayout>
                  <c:x val="0.13494452450738079"/>
                  <c:y val="2.57549385274209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B010900-01B4-4910-BBB4-1C56DBC6BDB0}" type="CATEGORYNAME">
                      <a:rPr lang="en-US" sz="1200">
                        <a:solidFill>
                          <a:schemeClr val="accent5"/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>
                        <a:solidFill>
                          <a:schemeClr val="accent5"/>
                        </a:solidFill>
                      </a:rPr>
                      <a:t> .38%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E3A7-4E7A-B5E5-5B72B19D8A79}"/>
                </c:ext>
              </c:extLst>
            </c:dLbl>
            <c:dLbl>
              <c:idx val="13"/>
              <c:layout>
                <c:manualLayout>
                  <c:x val="0.20473527016019541"/>
                  <c:y val="8.462049204800163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3CC9D59-4C28-48FE-8F40-CBBFCFEA741F}" type="CATEGORYNAME">
                      <a:rPr lang="en-US" sz="1200">
                        <a:solidFill>
                          <a:schemeClr val="accent5"/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>
                        <a:solidFill>
                          <a:schemeClr val="accent5"/>
                        </a:solidFill>
                      </a:rPr>
                      <a:t> .24%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3A7-4E7A-B5E5-5B72B19D8A79}"/>
                </c:ext>
              </c:extLst>
            </c:dLbl>
            <c:dLbl>
              <c:idx val="14"/>
              <c:layout>
                <c:manualLayout>
                  <c:x val="0.17958539002253365"/>
                  <c:y val="5.490457156352904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B0B417-B41F-490B-BB08-670B1552627F}" type="CATEGORYNAME">
                      <a:rPr lang="en-US" sz="1200">
                        <a:solidFill>
                          <a:schemeClr val="accent3"/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>
                        <a:solidFill>
                          <a:schemeClr val="accent3"/>
                        </a:solidFill>
                      </a:rPr>
                      <a:t> .17%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E3A7-4E7A-B5E5-5B72B19D8A79}"/>
                </c:ext>
              </c:extLst>
            </c:dLbl>
            <c:dLbl>
              <c:idx val="15"/>
              <c:layout>
                <c:manualLayout>
                  <c:x val="0.18823070193148941"/>
                  <c:y val="0.1182973944895258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CE1E194-5685-4E44-8F31-6FCE08D96CFA}" type="CATEGORYNAME">
                      <a:rPr lang="en-US" sz="1200">
                        <a:solidFill>
                          <a:schemeClr val="tx2"/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>
                        <a:solidFill>
                          <a:schemeClr val="tx2"/>
                        </a:solidFill>
                      </a:rPr>
                      <a:t> .17%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E3A7-4E7A-B5E5-5B72B19D8A79}"/>
                </c:ext>
              </c:extLst>
            </c:dLbl>
            <c:dLbl>
              <c:idx val="16"/>
              <c:layout>
                <c:manualLayout>
                  <c:x val="0.22147561793502601"/>
                  <c:y val="0.1565017445824364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4850C1-B164-481D-9CBF-6B98C0E6537B}" type="CATEGORYNAME">
                      <a:rPr lang="en-US" sz="1200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t> .13%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E3A7-4E7A-B5E5-5B72B19D8A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Dashboard!$AU$61:$AU$77</c:f>
              <c:strCache>
                <c:ptCount val="17"/>
                <c:pt idx="0">
                  <c:v>Capital Expenditures</c:v>
                </c:pt>
                <c:pt idx="1">
                  <c:v>Transfers</c:v>
                </c:pt>
                <c:pt idx="2">
                  <c:v>Public Works</c:v>
                </c:pt>
                <c:pt idx="3">
                  <c:v>Police</c:v>
                </c:pt>
                <c:pt idx="4">
                  <c:v>Debt Service</c:v>
                </c:pt>
                <c:pt idx="5">
                  <c:v>Parks/Recreation</c:v>
                </c:pt>
                <c:pt idx="6">
                  <c:v>Non-Departmental</c:v>
                </c:pt>
                <c:pt idx="7">
                  <c:v>Planning/Community Development</c:v>
                </c:pt>
                <c:pt idx="8">
                  <c:v>ARPA</c:v>
                </c:pt>
                <c:pt idx="9">
                  <c:v>Municipal Court</c:v>
                </c:pt>
                <c:pt idx="10">
                  <c:v>Finance</c:v>
                </c:pt>
                <c:pt idx="11">
                  <c:v>Executive</c:v>
                </c:pt>
                <c:pt idx="12">
                  <c:v>Administration</c:v>
                </c:pt>
                <c:pt idx="13">
                  <c:v>Communications</c:v>
                </c:pt>
                <c:pt idx="14">
                  <c:v>City Hall/Annex/Library</c:v>
                </c:pt>
                <c:pt idx="15">
                  <c:v>Legal</c:v>
                </c:pt>
                <c:pt idx="16">
                  <c:v>Legislative</c:v>
                </c:pt>
              </c:strCache>
            </c:strRef>
          </c:cat>
          <c:val>
            <c:numRef>
              <c:f>Dashboard!$AV$61:$AV$77</c:f>
              <c:numCache>
                <c:formatCode>0.00%</c:formatCode>
                <c:ptCount val="17"/>
                <c:pt idx="0">
                  <c:v>0.42277380953905536</c:v>
                </c:pt>
                <c:pt idx="1">
                  <c:v>0.13827184116783606</c:v>
                </c:pt>
                <c:pt idx="2">
                  <c:v>0.12706788674266961</c:v>
                </c:pt>
                <c:pt idx="3">
                  <c:v>9.6658333254025522E-2</c:v>
                </c:pt>
                <c:pt idx="4">
                  <c:v>7.2827410136604848E-2</c:v>
                </c:pt>
                <c:pt idx="5">
                  <c:v>3.5162177992825061E-2</c:v>
                </c:pt>
                <c:pt idx="6">
                  <c:v>3.147572220901234E-2</c:v>
                </c:pt>
                <c:pt idx="7">
                  <c:v>2.0905484377840355E-2</c:v>
                </c:pt>
                <c:pt idx="8">
                  <c:v>1.5445484785147425E-2</c:v>
                </c:pt>
                <c:pt idx="9">
                  <c:v>1.2187249031886064E-2</c:v>
                </c:pt>
                <c:pt idx="10">
                  <c:v>7.5515123077324149E-3</c:v>
                </c:pt>
                <c:pt idx="11">
                  <c:v>6.7577021767682797E-3</c:v>
                </c:pt>
                <c:pt idx="12">
                  <c:v>3.7933994265377923E-3</c:v>
                </c:pt>
                <c:pt idx="13">
                  <c:v>2.3602114055025374E-3</c:v>
                </c:pt>
                <c:pt idx="14">
                  <c:v>3.8100546542721397E-3</c:v>
                </c:pt>
                <c:pt idx="15">
                  <c:v>1.699003326366217E-3</c:v>
                </c:pt>
                <c:pt idx="16">
                  <c:v>1.2527174659180519E-3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3A7-4E7A-B5E5-5B72B19D8A7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1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C-4755-BAAA-3FE3053245D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C-4755-BAAA-3FE3053245D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B3C-4755-BAAA-3FE3053245D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B3C-4755-BAAA-3FE3053245D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C-4755-BAAA-3FE3053245D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B3C-4755-BAAA-3FE3053245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C-4755-BAAA-3FE3053245D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B3C-4755-BAAA-3FE3053245D8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33F5-49D8-997D-68119E163D1A}"/>
              </c:ext>
            </c:extLst>
          </c:dPt>
          <c:dLbls>
            <c:dLbl>
              <c:idx val="0"/>
              <c:layout>
                <c:manualLayout>
                  <c:x val="3.4595032754822495E-3"/>
                  <c:y val="-4.0532720937116941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</a:rPr>
                      <a:t>Sales &amp; Use Tax </a:t>
                    </a:r>
                    <a:fld id="{1E187891-7365-49F1-A59A-82B1C963FAEB}" type="PERCENTAGE">
                      <a:rPr lang="en-US">
                        <a:solidFill>
                          <a:schemeClr val="tx2">
                            <a:lumMod val="60000"/>
                            <a:lumOff val="40000"/>
                          </a:schemeClr>
                        </a:solidFill>
                      </a:rPr>
                      <a:pPr/>
                      <a:t>[PERCENTAGE]</a:t>
                    </a:fld>
                    <a:endParaRPr lang="en-US"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endParaRP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B3C-4755-BAAA-3FE3053245D8}"/>
                </c:ext>
              </c:extLst>
            </c:dLbl>
            <c:dLbl>
              <c:idx val="1"/>
              <c:layout>
                <c:manualLayout>
                  <c:x val="-4.8826588430789198E-3"/>
                  <c:y val="-2.425096988299082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400" b="1" i="0" u="none" strike="noStrike" kern="1200" baseline="0">
                        <a:solidFill>
                          <a:srgbClr val="92D05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Solid</a:t>
                    </a:r>
                    <a:r>
                      <a:rPr lang="en-US" baseline="0"/>
                      <a:t> Waste </a:t>
                    </a:r>
                    <a:r>
                      <a:rPr lang="en-US"/>
                      <a:t>Tax </a:t>
                    </a:r>
                    <a:fld id="{F0FC15A3-0F0D-4FED-963F-515535F4A607}" type="PERCENTAGE">
                      <a:rPr lang="en-US"/>
                      <a:pPr algn="ctr">
                        <a:defRPr lang="en-US" sz="1400">
                          <a:solidFill>
                            <a:srgbClr val="92D050"/>
                          </a:solidFill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400" b="1" i="0" u="none" strike="noStrike" kern="1200" baseline="0">
                      <a:solidFill>
                        <a:srgbClr val="92D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B3C-4755-BAAA-3FE3053245D8}"/>
                </c:ext>
              </c:extLst>
            </c:dLbl>
            <c:dLbl>
              <c:idx val="2"/>
              <c:layout>
                <c:manualLayout>
                  <c:x val="6.4922102965304044E-3"/>
                  <c:y val="-1.2686326677107507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t>Utility Tax </a:t>
                    </a:r>
                    <a:fld id="{BAC4A4F8-9C2A-42F2-8889-458A9DAA9B83}" type="PERCENTAGE">
                      <a:rPr lang="en-US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pPr/>
                      <a:t>[PERCENTAGE]</a:t>
                    </a:fld>
                    <a:endParaRPr lang="en-US">
                      <a:solidFill>
                        <a:schemeClr val="accent5">
                          <a:lumMod val="75000"/>
                        </a:schemeClr>
                      </a:solidFill>
                    </a:endParaRP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DB3C-4755-BAAA-3FE3053245D8}"/>
                </c:ext>
              </c:extLst>
            </c:dLbl>
            <c:dLbl>
              <c:idx val="3"/>
              <c:layout>
                <c:manualLayout>
                  <c:x val="4.4470556711581491E-3"/>
                  <c:y val="1.268632667710743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400" b="1" i="0" u="none" strike="noStrike" kern="1200" baseline="0">
                        <a:solidFill>
                          <a:schemeClr val="tx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Property Tax </a:t>
                    </a:r>
                    <a:fld id="{6FE998AF-75C5-41B3-91D3-6BB9510AD550}" type="PERCENTAGE">
                      <a:rPr lang="en-US"/>
                      <a:pPr algn="ctr">
                        <a:defRPr lang="en-US" sz="1400">
                          <a:solidFill>
                            <a:schemeClr val="tx2">
                              <a:lumMod val="75000"/>
                            </a:schemeClr>
                          </a:solidFill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4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B3C-4755-BAAA-3FE3053245D8}"/>
                </c:ext>
              </c:extLst>
            </c:dLbl>
            <c:dLbl>
              <c:idx val="4"/>
              <c:layout>
                <c:manualLayout>
                  <c:x val="1.4307786464088697E-2"/>
                  <c:y val="2.5564619190258458E-3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t>Real Estate Tax </a:t>
                    </a:r>
                    <a:fld id="{CF295E57-16D3-4F3F-A15E-ECB81D4D546B}" type="PERCENTAGE">
                      <a:rPr lang="en-US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pPr/>
                      <a:t>[PERCENTAGE]</a:t>
                    </a:fld>
                    <a:endParaRPr lang="en-US">
                      <a:solidFill>
                        <a:schemeClr val="accent3">
                          <a:lumMod val="50000"/>
                        </a:schemeClr>
                      </a:solidFill>
                    </a:endParaRP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B3C-4755-BAAA-3FE3053245D8}"/>
                </c:ext>
              </c:extLst>
            </c:dLbl>
            <c:dLbl>
              <c:idx val="5"/>
              <c:layout>
                <c:manualLayout>
                  <c:x val="-1.6988704821728469E-3"/>
                  <c:y val="5.365653224845091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400" b="1" i="0" u="none" strike="noStrike" kern="1200" baseline="0">
                        <a:solidFill>
                          <a:schemeClr val="accent5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Motor Vehicle Tax </a:t>
                    </a:r>
                    <a:fld id="{76CD7D8B-C302-4927-A971-E7F42DC19D91}" type="PERCENTAGE">
                      <a:rPr lang="en-US"/>
                      <a:pPr algn="ctr">
                        <a:defRPr lang="en-US" sz="1400">
                          <a:solidFill>
                            <a:schemeClr val="accent5">
                              <a:lumMod val="75000"/>
                            </a:schemeClr>
                          </a:solidFill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400" b="1" i="0" u="none" strike="noStrike" kern="1200" baseline="0">
                      <a:solidFill>
                        <a:schemeClr val="accent5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B3C-4755-BAAA-3FE3053245D8}"/>
                </c:ext>
              </c:extLst>
            </c:dLbl>
            <c:dLbl>
              <c:idx val="6"/>
              <c:layout>
                <c:manualLayout>
                  <c:x val="-3.3821873515850758E-3"/>
                  <c:y val="6.078005876365849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400" b="1" i="0" u="none" strike="noStrike" kern="1200" baseline="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Criminal Justice Tax </a:t>
                    </a:r>
                    <a:fld id="{0C39E9AC-F2E9-42EB-B29C-EA818FAF5576}" type="PERCENTAGE">
                      <a:rPr lang="en-US"/>
                      <a:pPr algn="ctr">
                        <a:defRPr lang="en-US" sz="1400">
                          <a:solidFill>
                            <a:schemeClr val="accent1">
                              <a:lumMod val="60000"/>
                              <a:lumOff val="40000"/>
                            </a:schemeClr>
                          </a:solidFill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400" b="1" i="0" u="none" strike="noStrike" kern="1200" baseline="0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B3C-4755-BAAA-3FE3053245D8}"/>
                </c:ext>
              </c:extLst>
            </c:dLbl>
            <c:dLbl>
              <c:idx val="7"/>
              <c:layout>
                <c:manualLayout>
                  <c:x val="6.9085169051492827E-3"/>
                  <c:y val="3.805071907398503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400" b="1" i="0" u="none" strike="noStrike" kern="1200" baseline="0">
                        <a:solidFill>
                          <a:schemeClr val="accent3">
                            <a:lumMod val="60000"/>
                            <a:lumOff val="4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Marijuana/Liquor </a:t>
                    </a:r>
                    <a:fld id="{4FDC4BC5-9A4F-4215-9FB0-793DABDE14E8}" type="PERCENTAGE">
                      <a:rPr lang="en-US"/>
                      <a:pPr algn="ctr">
                        <a:defRPr lang="en-US" sz="1400">
                          <a:solidFill>
                            <a:schemeClr val="accent3">
                              <a:lumMod val="60000"/>
                              <a:lumOff val="40000"/>
                            </a:schemeClr>
                          </a:solidFill>
                        </a:defRPr>
                      </a:pPr>
                      <a:t>[PERCENTAGE]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400" b="1" i="0" u="none" strike="noStrike" kern="1200" baseline="0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B3C-4755-BAAA-3FE3053245D8}"/>
                </c:ext>
              </c:extLst>
            </c:dLbl>
            <c:dLbl>
              <c:idx val="8"/>
              <c:layout>
                <c:manualLayout>
                  <c:x val="1.7226530412195972E-2"/>
                  <c:y val="9.2033353757007604E-3"/>
                </c:manualLayout>
              </c:layout>
              <c:tx>
                <c:rich>
                  <a:bodyPr/>
                  <a:lstStyle/>
                  <a:p>
                    <a:r>
                      <a:rPr lang="en-US" baseline="0">
                        <a:solidFill>
                          <a:schemeClr val="accent5"/>
                        </a:solidFill>
                      </a:rPr>
                      <a:t>Library Tax </a:t>
                    </a:r>
                    <a:fld id="{EE322876-AD1C-43A2-B938-6E13115C5C68}" type="PERCENTAGE">
                      <a:rPr lang="en-US" baseline="0">
                        <a:solidFill>
                          <a:schemeClr val="accent5"/>
                        </a:solidFill>
                      </a:rPr>
                      <a:pPr/>
                      <a:t>[PERCENTAGE]</a:t>
                    </a:fld>
                    <a:endParaRPr lang="en-US" baseline="0">
                      <a:solidFill>
                        <a:schemeClr val="accent5"/>
                      </a:solidFill>
                    </a:endParaRP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03732541521816"/>
                      <c:h val="4.622375192445728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3F5-49D8-997D-68119E163D1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Dashboard!$AN$26:$AN$34</c:f>
              <c:strCache>
                <c:ptCount val="9"/>
                <c:pt idx="0">
                  <c:v>Sales &amp; Use Tax</c:v>
                </c:pt>
                <c:pt idx="1">
                  <c:v>Solid Waste Tax</c:v>
                </c:pt>
                <c:pt idx="2">
                  <c:v>Utility Tax</c:v>
                </c:pt>
                <c:pt idx="3">
                  <c:v>Property Taxes</c:v>
                </c:pt>
                <c:pt idx="4">
                  <c:v>Real Estate</c:v>
                </c:pt>
                <c:pt idx="5">
                  <c:v>Motor Vehicle</c:v>
                </c:pt>
                <c:pt idx="6">
                  <c:v>Criminal Justice</c:v>
                </c:pt>
                <c:pt idx="7">
                  <c:v>Marijuana/Liquor</c:v>
                </c:pt>
                <c:pt idx="8">
                  <c:v>Library</c:v>
                </c:pt>
              </c:strCache>
            </c:strRef>
          </c:cat>
          <c:val>
            <c:numRef>
              <c:f>Dashboard!$AO$26:$AO$34</c:f>
              <c:numCache>
                <c:formatCode>0.00%</c:formatCode>
                <c:ptCount val="9"/>
                <c:pt idx="0">
                  <c:v>0.34292967608510883</c:v>
                </c:pt>
                <c:pt idx="1">
                  <c:v>0.20752713046236257</c:v>
                </c:pt>
                <c:pt idx="2">
                  <c:v>0.18048216884952858</c:v>
                </c:pt>
                <c:pt idx="3">
                  <c:v>0.14906737196465122</c:v>
                </c:pt>
                <c:pt idx="4">
                  <c:v>4.6288579285285326E-2</c:v>
                </c:pt>
                <c:pt idx="5">
                  <c:v>2.5429479654325061E-2</c:v>
                </c:pt>
                <c:pt idx="6">
                  <c:v>2.2259483449604437E-2</c:v>
                </c:pt>
                <c:pt idx="7">
                  <c:v>2.1078661792036806E-2</c:v>
                </c:pt>
                <c:pt idx="8">
                  <c:v>4.937448457097102E-3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C-4755-BAAA-3FE3053245D8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46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093-4C86-9C10-BCAFFAA2E5A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093-4C86-9C10-BCAFFAA2E5A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093-4C86-9C10-BCAFFAA2E5A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093-4C86-9C10-BCAFFAA2E5A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093-4C86-9C10-BCAFFAA2E5AD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093-4C86-9C10-BCAFFAA2E5AD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093-4C86-9C10-BCAFFAA2E5AD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093-4C86-9C10-BCAFFAA2E5AD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093-4C86-9C10-BCAFFAA2E5AD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0093-4C86-9C10-BCAFFAA2E5AD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0093-4C86-9C10-BCAFFAA2E5AD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093-4C86-9C10-BCAFFAA2E5AD}"/>
              </c:ext>
            </c:extLst>
          </c:dPt>
          <c:dPt>
            <c:idx val="1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0093-4C86-9C10-BCAFFAA2E5AD}"/>
              </c:ext>
            </c:extLst>
          </c:dPt>
          <c:dPt>
            <c:idx val="1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0093-4C86-9C10-BCAFFAA2E5AD}"/>
              </c:ext>
            </c:extLst>
          </c:dPt>
          <c:dPt>
            <c:idx val="1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0093-4C86-9C10-BCAFFAA2E5AD}"/>
              </c:ext>
            </c:extLst>
          </c:dPt>
          <c:dPt>
            <c:idx val="15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0093-4C86-9C10-BCAFFAA2E5AD}"/>
              </c:ext>
            </c:extLst>
          </c:dPt>
          <c:dPt>
            <c:idx val="16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0093-4C86-9C10-BCAFFAA2E5AD}"/>
              </c:ext>
            </c:extLst>
          </c:dPt>
          <c:dLbls>
            <c:dLbl>
              <c:idx val="0"/>
              <c:layout>
                <c:manualLayout>
                  <c:x val="-4.2440271889090872E-2"/>
                  <c:y val="-9.054895302773062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/>
                      <a:t>Thornton </a:t>
                    </a:r>
                    <a:fld id="{DE6993AC-A86E-4EA7-955A-5A575ABB31BC}" type="PERCENTAGE">
                      <a:rPr lang="en-US" sz="1400"/>
                      <a:pPr>
                        <a:defRPr sz="1400"/>
                      </a:pPr>
                      <a:t>[PERCENTAGE]</a:t>
                    </a:fld>
                    <a:endParaRPr lang="en-US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6022473318152"/>
                      <c:h val="5.926428975664969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093-4C86-9C10-BCAFFAA2E5AD}"/>
                </c:ext>
              </c:extLst>
            </c:dLbl>
            <c:dLbl>
              <c:idx val="1"/>
              <c:layout>
                <c:manualLayout>
                  <c:x val="-2.9472443265546714E-2"/>
                  <c:y val="4.527447651386364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3"/>
                        </a:solidFill>
                      </a:rPr>
                      <a:t>Storm </a:t>
                    </a:r>
                    <a:fld id="{5ABF1C00-3A35-4360-8BD5-98550FC98241}" type="PERCENTAGE">
                      <a:rPr lang="en-US" sz="1400">
                        <a:solidFill>
                          <a:schemeClr val="accent3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accent3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093-4C86-9C10-BCAFFAA2E5AD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/>
                      <a:t>WTP</a:t>
                    </a:r>
                    <a:r>
                      <a:rPr lang="en-US" sz="1400" baseline="0"/>
                      <a:t> Upgrade </a:t>
                    </a:r>
                    <a:fld id="{9CB01B14-77D0-4838-BF72-DE136E4F4A82}" type="PERCENTAGE">
                      <a:rPr lang="en-US" sz="1400"/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093-4C86-9C10-BCAFFAA2E5AD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tx2"/>
                        </a:solidFill>
                      </a:rPr>
                      <a:t>Streets </a:t>
                    </a:r>
                    <a:fld id="{37CF097F-B239-40D7-BDCC-9AAA741C0CFC}" type="PERCENTAGE">
                      <a:rPr lang="en-US" sz="1400">
                        <a:solidFill>
                          <a:schemeClr val="tx2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tx2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093-4C86-9C10-BCAFFAA2E5AD}"/>
                </c:ext>
              </c:extLst>
            </c:dLbl>
            <c:dLbl>
              <c:idx val="4"/>
              <c:layout>
                <c:manualLayout>
                  <c:x val="-4.1968759210138519E-2"/>
                  <c:y val="1.245368946878244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t>Water</a:t>
                    </a:r>
                    <a:r>
                      <a:rPr lang="en-US" sz="1400"/>
                      <a:t> </a:t>
                    </a:r>
                    <a:fld id="{268B30E5-6120-499B-B714-E760D40C7E84}" type="PERCENTAGE">
                      <a:rPr lang="en-US" sz="1400">
                        <a:solidFill>
                          <a:schemeClr val="accent3">
                            <a:lumMod val="50000"/>
                          </a:schemeClr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0093-4C86-9C10-BCAFFAA2E5AD}"/>
                </c:ext>
              </c:extLst>
            </c:dLbl>
            <c:dLbl>
              <c:idx val="5"/>
              <c:layout>
                <c:manualLayout>
                  <c:x val="-8.2522841143530794E-3"/>
                  <c:y val="8.5397644479499489E-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t>Sewer </a:t>
                    </a:r>
                    <a:fld id="{850C2157-A7DF-42B1-BDDF-DD01996CB3BB}" type="PERCENTAGE">
                      <a:rPr lang="en-US" sz="1400">
                        <a:solidFill>
                          <a:schemeClr val="accent5">
                            <a:lumMod val="50000"/>
                          </a:schemeClr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chemeClr val="accent5">
                          <a:lumMod val="50000"/>
                        </a:schemeClr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0093-4C86-9C10-BCAFFAA2E5AD}"/>
                </c:ext>
              </c:extLst>
            </c:dLbl>
            <c:dLbl>
              <c:idx val="6"/>
              <c:layout>
                <c:manualLayout>
                  <c:x val="4.4798113763631006E-3"/>
                  <c:y val="1.556711183597805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>
                        <a:solidFill>
                          <a:srgbClr val="92D050"/>
                        </a:solidFill>
                      </a:rPr>
                      <a:t>Computer </a:t>
                    </a:r>
                    <a:fld id="{8D497B69-E958-4844-A7E7-572B4CEF0D6E}" type="PERCENTAGE">
                      <a:rPr lang="en-US" sz="1400">
                        <a:solidFill>
                          <a:srgbClr val="92D050"/>
                        </a:solidFill>
                      </a:rPr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>
                      <a:solidFill>
                        <a:srgbClr val="92D050"/>
                      </a:solidFill>
                    </a:endParaRP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0093-4C86-9C10-BCAFFAA2E5AD}"/>
                </c:ext>
              </c:extLst>
            </c:dLbl>
            <c:dLbl>
              <c:idx val="7"/>
              <c:layout>
                <c:manualLayout>
                  <c:x val="-1.6740347774830543E-2"/>
                  <c:y val="2.009233141273298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/>
                      <a:t>Planning/Community Development </a:t>
                    </a:r>
                    <a:fld id="{84A17AD1-704D-4452-A23A-2C641B58B277}" type="PERCENTAGE">
                      <a:rPr lang="en-US" sz="1400"/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810766028251775"/>
                      <c:h val="4.12097554019669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093-4C86-9C10-BCAFFAA2E5AD}"/>
                </c:ext>
              </c:extLst>
            </c:dLbl>
            <c:dLbl>
              <c:idx val="8"/>
              <c:layout>
                <c:manualLayout>
                  <c:x val="-2.8607918263090677E-2"/>
                  <c:y val="2.546959311623102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/>
                      <a:t>ARPA </a:t>
                    </a:r>
                    <a:fld id="{76192A6E-E0C6-475B-828E-7FCEFD5B3D1A}" type="PERCENTAGE">
                      <a:rPr lang="en-US" sz="1400"/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093-4C86-9C10-BCAFFAA2E5AD}"/>
                </c:ext>
              </c:extLst>
            </c:dLbl>
            <c:dLbl>
              <c:idx val="9"/>
              <c:layout>
                <c:manualLayout>
                  <c:x val="-2.7586206896551724E-2"/>
                  <c:y val="-4.07513489859692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400"/>
                      <a:t>Municipal Court </a:t>
                    </a:r>
                    <a:fld id="{8D6B8012-AFF3-4CC6-9BA0-424BEC249B12}" type="PERCENTAGE">
                      <a:rPr lang="en-US" sz="1400"/>
                      <a:pPr>
                        <a:defRPr sz="1400">
                          <a:solidFill>
                            <a:schemeClr val="accent1"/>
                          </a:solidFill>
                        </a:defRPr>
                      </a:pPr>
                      <a:t>[PERCENTAGE]</a:t>
                    </a:fld>
                    <a:endParaRPr lang="en-US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093-4C86-9C10-BCAFFAA2E5AD}"/>
                </c:ext>
              </c:extLst>
            </c:dLbl>
            <c:dLbl>
              <c:idx val="10"/>
              <c:layout>
                <c:manualLayout>
                  <c:x val="6.8454661558109753E-2"/>
                  <c:y val="-3.31104710511000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EBB1A99-099D-4F7F-B692-47811291E432}" type="CATEGORYNAME">
                      <a:rPr lang="en-US" sz="1200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/>
                      <a:t> .68%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093-4C86-9C10-BCAFFAA2E5AD}"/>
                </c:ext>
              </c:extLst>
            </c:dLbl>
            <c:dLbl>
              <c:idx val="11"/>
              <c:layout>
                <c:manualLayout>
                  <c:x val="9.9106033496476065E-2"/>
                  <c:y val="-1.414025284190940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565C98-6389-49AF-8F39-6B92C380E238}" type="CATEGORYNAME">
                      <a:rPr lang="en-US" sz="1200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/>
                      <a:t> .68%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0093-4C86-9C10-BCAFFAA2E5AD}"/>
                </c:ext>
              </c:extLst>
            </c:dLbl>
            <c:dLbl>
              <c:idx val="12"/>
              <c:layout>
                <c:manualLayout>
                  <c:x val="0.13494452450738079"/>
                  <c:y val="2.57549385274209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B010900-01B4-4910-BBB4-1C56DBC6BDB0}" type="CATEGORYNAME">
                      <a:rPr lang="en-US" sz="1200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/>
                      <a:t> .38%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0093-4C86-9C10-BCAFFAA2E5AD}"/>
                </c:ext>
              </c:extLst>
            </c:dLbl>
            <c:dLbl>
              <c:idx val="13"/>
              <c:layout>
                <c:manualLayout>
                  <c:x val="0.20473527016019541"/>
                  <c:y val="8.462049204800163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3CC9D59-4C28-48FE-8F40-CBBFCFEA741F}" type="CATEGORYNAME">
                      <a:rPr lang="en-US" sz="1200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/>
                      <a:t> .24%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0093-4C86-9C10-BCAFFAA2E5AD}"/>
                </c:ext>
              </c:extLst>
            </c:dLbl>
            <c:dLbl>
              <c:idx val="14"/>
              <c:layout>
                <c:manualLayout>
                  <c:x val="0.17958539002253365"/>
                  <c:y val="5.490457156352904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B0B417-B41F-490B-BB08-670B1552627F}" type="CATEGORYNAME">
                      <a:rPr lang="en-US" sz="1200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/>
                      <a:t> .17%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0093-4C86-9C10-BCAFFAA2E5AD}"/>
                </c:ext>
              </c:extLst>
            </c:dLbl>
            <c:dLbl>
              <c:idx val="15"/>
              <c:layout>
                <c:manualLayout>
                  <c:x val="0.18823070193148941"/>
                  <c:y val="0.1182973944895258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CE1E194-5685-4E44-8F31-6FCE08D96CFA}" type="CATEGORYNAME">
                      <a:rPr lang="en-US" sz="1200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/>
                      <a:t> .17%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0093-4C86-9C10-BCAFFAA2E5AD}"/>
                </c:ext>
              </c:extLst>
            </c:dLbl>
            <c:dLbl>
              <c:idx val="16"/>
              <c:layout>
                <c:manualLayout>
                  <c:x val="0.22147561793502601"/>
                  <c:y val="0.1565017445824364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4850C1-B164-481D-9CBF-6B98C0E6537B}" type="CATEGORYNAME">
                      <a:rPr lang="en-US" sz="1200"/>
                      <a:pPr>
                        <a:defRPr sz="1200">
                          <a:solidFill>
                            <a:schemeClr val="accent1"/>
                          </a:solidFill>
                        </a:defRPr>
                      </a:pPr>
                      <a:t>[CATEGORY NAME]</a:t>
                    </a:fld>
                    <a:r>
                      <a:rPr lang="en-US" sz="1200"/>
                      <a:t> .13%</a:t>
                    </a:r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0093-4C86-9C10-BCAFFAA2E5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Dashboard!$AP$63:$AP$69</c:f>
              <c:strCache>
                <c:ptCount val="7"/>
                <c:pt idx="0">
                  <c:v> Thornton </c:v>
                </c:pt>
                <c:pt idx="1">
                  <c:v> Storm </c:v>
                </c:pt>
                <c:pt idx="2">
                  <c:v> WTP Upgrade </c:v>
                </c:pt>
                <c:pt idx="3">
                  <c:v> Streets </c:v>
                </c:pt>
                <c:pt idx="4">
                  <c:v> Water </c:v>
                </c:pt>
                <c:pt idx="5">
                  <c:v> Sewer </c:v>
                </c:pt>
                <c:pt idx="6">
                  <c:v> Computer </c:v>
                </c:pt>
              </c:strCache>
            </c:strRef>
          </c:cat>
          <c:val>
            <c:numRef>
              <c:f>Dashboard!$AQ$63:$AQ$69</c:f>
              <c:numCache>
                <c:formatCode>General</c:formatCode>
                <c:ptCount val="7"/>
                <c:pt idx="0">
                  <c:v>7275000</c:v>
                </c:pt>
                <c:pt idx="1">
                  <c:v>5507500</c:v>
                </c:pt>
                <c:pt idx="2">
                  <c:v>5200000</c:v>
                </c:pt>
                <c:pt idx="3">
                  <c:v>4780000</c:v>
                </c:pt>
                <c:pt idx="4">
                  <c:v>3782000</c:v>
                </c:pt>
                <c:pt idx="5">
                  <c:v>802500</c:v>
                </c:pt>
                <c:pt idx="6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093-4C86-9C10-BCAFFAA2E5A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2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image007.png@01D8BBB7.B9121950" TargetMode="External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61</xdr:row>
      <xdr:rowOff>9525</xdr:rowOff>
    </xdr:from>
    <xdr:ext cx="5733333" cy="4771429"/>
    <xdr:pic>
      <xdr:nvPicPr>
        <xdr:cNvPr id="2" name="Picture 1">
          <a:extLst>
            <a:ext uri="{FF2B5EF4-FFF2-40B4-BE49-F238E27FC236}">
              <a16:creationId xmlns:a16="http://schemas.microsoft.com/office/drawing/2014/main" id="{82057BC2-72EA-4C11-A040-BEFA8740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630025"/>
          <a:ext cx="5733333" cy="4771429"/>
        </a:xfrm>
        <a:prstGeom prst="rect">
          <a:avLst/>
        </a:prstGeom>
      </xdr:spPr>
    </xdr:pic>
    <xdr:clientData/>
  </xdr:oneCellAnchor>
  <xdr:twoCellAnchor>
    <xdr:from>
      <xdr:col>2</xdr:col>
      <xdr:colOff>9525</xdr:colOff>
      <xdr:row>2</xdr:row>
      <xdr:rowOff>0</xdr:rowOff>
    </xdr:from>
    <xdr:to>
      <xdr:col>8</xdr:col>
      <xdr:colOff>581025</xdr:colOff>
      <xdr:row>19</xdr:row>
      <xdr:rowOff>19050</xdr:rowOff>
    </xdr:to>
    <xdr:pic>
      <xdr:nvPicPr>
        <xdr:cNvPr id="3" name="Picture 2" descr="Inline image">
          <a:extLst>
            <a:ext uri="{FF2B5EF4-FFF2-40B4-BE49-F238E27FC236}">
              <a16:creationId xmlns:a16="http://schemas.microsoft.com/office/drawing/2014/main" id="{8C379D26-6C37-4D39-BE57-71710EA3D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81000"/>
          <a:ext cx="4229100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25977</xdr:rowOff>
    </xdr:from>
    <xdr:to>
      <xdr:col>0</xdr:col>
      <xdr:colOff>978477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248BDE0A-8F73-47F2-AA50-BE7FD28DC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34636</xdr:rowOff>
    </xdr:from>
    <xdr:to>
      <xdr:col>0</xdr:col>
      <xdr:colOff>969818</xdr:colOff>
      <xdr:row>2</xdr:row>
      <xdr:rowOff>122092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C4609865-D048-409A-8CBB-0DEBB0241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3463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25977</xdr:rowOff>
    </xdr:from>
    <xdr:to>
      <xdr:col>0</xdr:col>
      <xdr:colOff>952500</xdr:colOff>
      <xdr:row>2</xdr:row>
      <xdr:rowOff>113434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2692FADE-ABC8-4434-94FE-F0FE5F05F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77"/>
          <a:ext cx="952500" cy="953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25976</xdr:rowOff>
    </xdr:from>
    <xdr:to>
      <xdr:col>0</xdr:col>
      <xdr:colOff>969818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90937C51-DE05-4123-AF19-072E061C0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25976"/>
          <a:ext cx="952500" cy="953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17317</xdr:rowOff>
    </xdr:from>
    <xdr:to>
      <xdr:col>0</xdr:col>
      <xdr:colOff>952500</xdr:colOff>
      <xdr:row>2</xdr:row>
      <xdr:rowOff>104773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20F92CFC-B363-4FAF-8BD1-C85F79B63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34637</xdr:colOff>
      <xdr:row>0</xdr:row>
      <xdr:rowOff>34636</xdr:rowOff>
    </xdr:from>
    <xdr:to>
      <xdr:col>0</xdr:col>
      <xdr:colOff>987137</xdr:colOff>
      <xdr:row>2</xdr:row>
      <xdr:rowOff>122092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6BFA157D-14B7-4BEE-92A3-B90163EB8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7" y="3463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34636</xdr:rowOff>
    </xdr:from>
    <xdr:to>
      <xdr:col>0</xdr:col>
      <xdr:colOff>978477</xdr:colOff>
      <xdr:row>2</xdr:row>
      <xdr:rowOff>122092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F8CBE1BA-5CEF-441F-8741-812CC12D3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3463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25976</xdr:colOff>
      <xdr:row>0</xdr:row>
      <xdr:rowOff>25977</xdr:rowOff>
    </xdr:from>
    <xdr:to>
      <xdr:col>0</xdr:col>
      <xdr:colOff>978476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9355EEDD-4993-4060-8C6E-DAFA6BFBD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6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34637</xdr:rowOff>
    </xdr:from>
    <xdr:to>
      <xdr:col>0</xdr:col>
      <xdr:colOff>987136</xdr:colOff>
      <xdr:row>2</xdr:row>
      <xdr:rowOff>122093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35262902-06C9-46B8-ACF9-86E5A81A4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" y="3463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25976</xdr:rowOff>
    </xdr:from>
    <xdr:to>
      <xdr:col>0</xdr:col>
      <xdr:colOff>978477</xdr:colOff>
      <xdr:row>2</xdr:row>
      <xdr:rowOff>113432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0DD82517-9371-4172-96C5-0B691704F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2597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427581</xdr:colOff>
      <xdr:row>35</xdr:row>
      <xdr:rowOff>151548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35398AF-EA45-C928-AEED-1877B6B0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52381" cy="6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152400</xdr:rowOff>
    </xdr:from>
    <xdr:to>
      <xdr:col>13</xdr:col>
      <xdr:colOff>427581</xdr:colOff>
      <xdr:row>55</xdr:row>
      <xdr:rowOff>18590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3C1189-9E13-9C70-3CC1-393D7F9D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19900"/>
          <a:ext cx="8352381" cy="3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152400</xdr:rowOff>
    </xdr:from>
    <xdr:to>
      <xdr:col>13</xdr:col>
      <xdr:colOff>427581</xdr:colOff>
      <xdr:row>77</xdr:row>
      <xdr:rowOff>66162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AEEE053-A819-B5F9-84CE-5F5367F79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29900"/>
          <a:ext cx="8352381" cy="4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47625</xdr:rowOff>
    </xdr:from>
    <xdr:to>
      <xdr:col>13</xdr:col>
      <xdr:colOff>427581</xdr:colOff>
      <xdr:row>110</xdr:row>
      <xdr:rowOff>151601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85FD764-9580-F3BD-6D7D-30D047D0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716125"/>
          <a:ext cx="8352381" cy="639047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17317</xdr:rowOff>
    </xdr:from>
    <xdr:to>
      <xdr:col>0</xdr:col>
      <xdr:colOff>978477</xdr:colOff>
      <xdr:row>2</xdr:row>
      <xdr:rowOff>104773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69ABC3D0-387C-4EA9-A05C-DE2A9DDEA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1731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17317</xdr:rowOff>
    </xdr:from>
    <xdr:to>
      <xdr:col>0</xdr:col>
      <xdr:colOff>978477</xdr:colOff>
      <xdr:row>2</xdr:row>
      <xdr:rowOff>104773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573D55D4-38AB-4B2E-BD43-204A5B7AA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1731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17319</xdr:colOff>
      <xdr:row>0</xdr:row>
      <xdr:rowOff>8659</xdr:rowOff>
    </xdr:from>
    <xdr:to>
      <xdr:col>0</xdr:col>
      <xdr:colOff>969819</xdr:colOff>
      <xdr:row>2</xdr:row>
      <xdr:rowOff>96115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C31A5F4C-3B4F-47B8-AB0A-955DB1AA4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9" y="8659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25977</xdr:rowOff>
    </xdr:from>
    <xdr:to>
      <xdr:col>0</xdr:col>
      <xdr:colOff>952500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E66D7A5D-DF95-4B8C-9E9D-7D58E00AC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34636</xdr:rowOff>
    </xdr:from>
    <xdr:to>
      <xdr:col>0</xdr:col>
      <xdr:colOff>978477</xdr:colOff>
      <xdr:row>2</xdr:row>
      <xdr:rowOff>122093</xdr:rowOff>
    </xdr:to>
    <xdr:pic>
      <xdr:nvPicPr>
        <xdr:cNvPr id="3" name="Picture 3" descr="logo clear">
          <a:extLst>
            <a:ext uri="{FF2B5EF4-FFF2-40B4-BE49-F238E27FC236}">
              <a16:creationId xmlns:a16="http://schemas.microsoft.com/office/drawing/2014/main" id="{0985FFD0-B5A6-420E-A21C-E403D8A68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34636"/>
          <a:ext cx="952500" cy="953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8659</xdr:rowOff>
    </xdr:from>
    <xdr:to>
      <xdr:col>0</xdr:col>
      <xdr:colOff>952500</xdr:colOff>
      <xdr:row>2</xdr:row>
      <xdr:rowOff>96115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F1B73F53-B804-4359-92B6-256AF793E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59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25976</xdr:rowOff>
    </xdr:from>
    <xdr:to>
      <xdr:col>0</xdr:col>
      <xdr:colOff>978477</xdr:colOff>
      <xdr:row>2</xdr:row>
      <xdr:rowOff>113432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019FB6D2-3110-450D-B60C-0DCBAC248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2597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25977</xdr:rowOff>
    </xdr:from>
    <xdr:to>
      <xdr:col>0</xdr:col>
      <xdr:colOff>952500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869C7E01-81BC-4F7C-A7BE-4815393D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25978</xdr:colOff>
      <xdr:row>0</xdr:row>
      <xdr:rowOff>34637</xdr:rowOff>
    </xdr:from>
    <xdr:to>
      <xdr:col>0</xdr:col>
      <xdr:colOff>978478</xdr:colOff>
      <xdr:row>2</xdr:row>
      <xdr:rowOff>122093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23168B85-180B-4477-90E9-2D004C0C7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8" y="3463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43295</xdr:colOff>
      <xdr:row>0</xdr:row>
      <xdr:rowOff>60614</xdr:rowOff>
    </xdr:from>
    <xdr:to>
      <xdr:col>0</xdr:col>
      <xdr:colOff>995795</xdr:colOff>
      <xdr:row>2</xdr:row>
      <xdr:rowOff>148070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DBF72524-5F6F-4C2E-9A07-1131C6A88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5" y="60614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28574</xdr:rowOff>
    </xdr:from>
    <xdr:to>
      <xdr:col>13</xdr:col>
      <xdr:colOff>600075</xdr:colOff>
      <xdr:row>47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CCA9509-815E-9859-F182-2D5A784610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78</xdr:row>
      <xdr:rowOff>419099</xdr:rowOff>
    </xdr:from>
    <xdr:to>
      <xdr:col>14</xdr:col>
      <xdr:colOff>0</xdr:colOff>
      <xdr:row>107</xdr:row>
      <xdr:rowOff>133350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204C7A-1206-4A98-AAEF-C058E9851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33337</xdr:rowOff>
    </xdr:from>
    <xdr:to>
      <xdr:col>13</xdr:col>
      <xdr:colOff>600075</xdr:colOff>
      <xdr:row>77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08D0BF8-6CC2-54C3-245F-11D2AEBB8F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109</xdr:row>
      <xdr:rowOff>0</xdr:rowOff>
    </xdr:from>
    <xdr:to>
      <xdr:col>14</xdr:col>
      <xdr:colOff>0</xdr:colOff>
      <xdr:row>137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1D67BC-D771-453C-A52E-B19D6FE09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17318</xdr:rowOff>
    </xdr:from>
    <xdr:to>
      <xdr:col>0</xdr:col>
      <xdr:colOff>978477</xdr:colOff>
      <xdr:row>2</xdr:row>
      <xdr:rowOff>104774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CB8081E5-DB1C-40C3-9655-818421147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17318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17319</xdr:rowOff>
    </xdr:from>
    <xdr:to>
      <xdr:col>0</xdr:col>
      <xdr:colOff>969818</xdr:colOff>
      <xdr:row>2</xdr:row>
      <xdr:rowOff>104775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04079380-DE1E-487F-9F8E-D358FB3A7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19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34636</xdr:rowOff>
    </xdr:from>
    <xdr:to>
      <xdr:col>0</xdr:col>
      <xdr:colOff>978477</xdr:colOff>
      <xdr:row>2</xdr:row>
      <xdr:rowOff>122092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BEE22115-635D-403F-A961-DD86830A0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3463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25977</xdr:rowOff>
    </xdr:from>
    <xdr:to>
      <xdr:col>0</xdr:col>
      <xdr:colOff>987136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D78F03F8-6FE8-44A9-8763-7D2439288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25978</xdr:rowOff>
    </xdr:from>
    <xdr:to>
      <xdr:col>0</xdr:col>
      <xdr:colOff>987136</xdr:colOff>
      <xdr:row>2</xdr:row>
      <xdr:rowOff>113434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F0E554DC-67DE-4994-9D48-DC7F147D3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" y="25978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17318</xdr:rowOff>
    </xdr:from>
    <xdr:to>
      <xdr:col>0</xdr:col>
      <xdr:colOff>978477</xdr:colOff>
      <xdr:row>2</xdr:row>
      <xdr:rowOff>104774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9427A1C7-1AA3-4F2C-BF54-737616E78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17318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34638</xdr:colOff>
      <xdr:row>0</xdr:row>
      <xdr:rowOff>25978</xdr:rowOff>
    </xdr:from>
    <xdr:to>
      <xdr:col>0</xdr:col>
      <xdr:colOff>987138</xdr:colOff>
      <xdr:row>2</xdr:row>
      <xdr:rowOff>113434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BB2CF2EF-4B21-4571-9DB9-6BB3C0772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8" y="25978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17317</xdr:colOff>
      <xdr:row>0</xdr:row>
      <xdr:rowOff>25976</xdr:rowOff>
    </xdr:from>
    <xdr:to>
      <xdr:col>0</xdr:col>
      <xdr:colOff>969817</xdr:colOff>
      <xdr:row>2</xdr:row>
      <xdr:rowOff>113432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3322A11E-5276-4A76-9F19-CA1A3A9B0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7" y="2597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34636</xdr:rowOff>
    </xdr:from>
    <xdr:to>
      <xdr:col>0</xdr:col>
      <xdr:colOff>987136</xdr:colOff>
      <xdr:row>2</xdr:row>
      <xdr:rowOff>122092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C84B93A1-3EB1-497B-9213-A5EE1A572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" y="3463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17318</xdr:rowOff>
    </xdr:from>
    <xdr:to>
      <xdr:col>0</xdr:col>
      <xdr:colOff>952500</xdr:colOff>
      <xdr:row>2</xdr:row>
      <xdr:rowOff>104774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F27FDD1F-9163-4EE2-B402-A0324253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8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51955</xdr:colOff>
      <xdr:row>0</xdr:row>
      <xdr:rowOff>43296</xdr:rowOff>
    </xdr:from>
    <xdr:to>
      <xdr:col>2</xdr:col>
      <xdr:colOff>398319</xdr:colOff>
      <xdr:row>2</xdr:row>
      <xdr:rowOff>130752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5EBF9AD6-1B58-4553-8AAD-82C84C58F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5" y="4329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17318</xdr:rowOff>
    </xdr:from>
    <xdr:to>
      <xdr:col>0</xdr:col>
      <xdr:colOff>978477</xdr:colOff>
      <xdr:row>2</xdr:row>
      <xdr:rowOff>104774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BA7A0D71-DC58-40E4-B99D-2173A63B2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17318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25978</xdr:colOff>
      <xdr:row>0</xdr:row>
      <xdr:rowOff>34636</xdr:rowOff>
    </xdr:from>
    <xdr:to>
      <xdr:col>0</xdr:col>
      <xdr:colOff>978478</xdr:colOff>
      <xdr:row>2</xdr:row>
      <xdr:rowOff>122092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1ED31415-883D-4F60-A6D7-5D75A24AE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8" y="3463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34636</xdr:rowOff>
    </xdr:from>
    <xdr:to>
      <xdr:col>0</xdr:col>
      <xdr:colOff>978477</xdr:colOff>
      <xdr:row>2</xdr:row>
      <xdr:rowOff>122092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A3D87760-E661-481F-9303-EAC7C90EA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34636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34637</xdr:rowOff>
    </xdr:from>
    <xdr:to>
      <xdr:col>0</xdr:col>
      <xdr:colOff>978477</xdr:colOff>
      <xdr:row>2</xdr:row>
      <xdr:rowOff>122093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ECB6413A-D331-4D7A-BEF8-A4635450B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3463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17318</xdr:colOff>
      <xdr:row>0</xdr:row>
      <xdr:rowOff>25977</xdr:rowOff>
    </xdr:from>
    <xdr:to>
      <xdr:col>0</xdr:col>
      <xdr:colOff>969818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8D1906E7-2BA5-4CB3-96A1-CB9A8168F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952500</xdr:colOff>
      <xdr:row>2</xdr:row>
      <xdr:rowOff>87456</xdr:rowOff>
    </xdr:to>
    <xdr:pic>
      <xdr:nvPicPr>
        <xdr:cNvPr id="3" name="Picture 3" descr="logo clear">
          <a:extLst>
            <a:ext uri="{FF2B5EF4-FFF2-40B4-BE49-F238E27FC236}">
              <a16:creationId xmlns:a16="http://schemas.microsoft.com/office/drawing/2014/main" id="{EABE565E-37BF-4E5D-9F62-DA91A534D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114300</xdr:colOff>
      <xdr:row>0</xdr:row>
      <xdr:rowOff>914400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DCA91-236A-471A-B233-21BA9EA9721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991100" cy="1905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114300</xdr:colOff>
      <xdr:row>0</xdr:row>
      <xdr:rowOff>914400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85FC9-C9E9-45BB-A8DA-4E631C8EF2A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991100" cy="190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25975</xdr:colOff>
      <xdr:row>0</xdr:row>
      <xdr:rowOff>17320</xdr:rowOff>
    </xdr:from>
    <xdr:to>
      <xdr:col>0</xdr:col>
      <xdr:colOff>978475</xdr:colOff>
      <xdr:row>2</xdr:row>
      <xdr:rowOff>104776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3A3691FD-D5DD-0EDA-9264-349261979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5" y="17320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25977</xdr:rowOff>
    </xdr:from>
    <xdr:to>
      <xdr:col>0</xdr:col>
      <xdr:colOff>952500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54C24138-6874-4509-98C9-00E923877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34637</xdr:rowOff>
    </xdr:from>
    <xdr:to>
      <xdr:col>0</xdr:col>
      <xdr:colOff>978477</xdr:colOff>
      <xdr:row>2</xdr:row>
      <xdr:rowOff>122093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05E94766-52CD-4E2C-9925-C6FA87551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3463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25977</xdr:colOff>
      <xdr:row>0</xdr:row>
      <xdr:rowOff>25977</xdr:rowOff>
    </xdr:from>
    <xdr:to>
      <xdr:col>0</xdr:col>
      <xdr:colOff>978477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900247D7-A821-4FD3-B050-489BDACF0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7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17317</xdr:colOff>
      <xdr:row>0</xdr:row>
      <xdr:rowOff>25977</xdr:rowOff>
    </xdr:from>
    <xdr:to>
      <xdr:col>0</xdr:col>
      <xdr:colOff>969817</xdr:colOff>
      <xdr:row>2</xdr:row>
      <xdr:rowOff>113433</xdr:rowOff>
    </xdr:to>
    <xdr:pic>
      <xdr:nvPicPr>
        <xdr:cNvPr id="2" name="Picture 3" descr="logo clear">
          <a:extLst>
            <a:ext uri="{FF2B5EF4-FFF2-40B4-BE49-F238E27FC236}">
              <a16:creationId xmlns:a16="http://schemas.microsoft.com/office/drawing/2014/main" id="{E38AAC8B-CA45-4F86-BDC1-69E446C3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7" y="25977"/>
          <a:ext cx="952500" cy="9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B789F-14DF-4302-8019-A6AFEBC38D6B}">
  <sheetPr>
    <tabColor rgb="FF92D050"/>
  </sheetPr>
  <dimension ref="A1:D13"/>
  <sheetViews>
    <sheetView workbookViewId="0">
      <selection activeCell="C5" sqref="C5"/>
    </sheetView>
  </sheetViews>
  <sheetFormatPr defaultColWidth="9.140625" defaultRowHeight="15" x14ac:dyDescent="0.25"/>
  <cols>
    <col min="1" max="2" width="26" style="94" customWidth="1"/>
    <col min="3" max="3" width="11.5703125" style="94" bestFit="1" customWidth="1"/>
    <col min="4" max="16384" width="9.140625" style="94"/>
  </cols>
  <sheetData>
    <row r="1" spans="1:4" x14ac:dyDescent="0.25">
      <c r="A1" s="100" t="s">
        <v>3551</v>
      </c>
      <c r="B1" s="100"/>
    </row>
    <row r="4" spans="1:4" x14ac:dyDescent="0.25">
      <c r="A4" s="99" t="s">
        <v>3517</v>
      </c>
      <c r="B4" s="99" t="s">
        <v>1</v>
      </c>
      <c r="C4" s="99" t="s">
        <v>3518</v>
      </c>
    </row>
    <row r="5" spans="1:4" x14ac:dyDescent="0.25">
      <c r="A5" s="93" t="s">
        <v>906</v>
      </c>
      <c r="B5" s="93" t="s">
        <v>3550</v>
      </c>
      <c r="C5" s="98">
        <v>135220.87</v>
      </c>
      <c r="D5" s="96"/>
    </row>
    <row r="6" spans="1:4" x14ac:dyDescent="0.25">
      <c r="A6" s="93" t="s">
        <v>1281</v>
      </c>
      <c r="B6" s="93" t="s">
        <v>3521</v>
      </c>
      <c r="C6" s="97">
        <v>138000</v>
      </c>
      <c r="D6" s="96"/>
    </row>
    <row r="7" spans="1:4" x14ac:dyDescent="0.25">
      <c r="A7" s="93" t="s">
        <v>1478</v>
      </c>
      <c r="B7" s="93" t="s">
        <v>3520</v>
      </c>
      <c r="C7" s="97">
        <v>117287.42</v>
      </c>
      <c r="D7" s="96"/>
    </row>
    <row r="8" spans="1:4" x14ac:dyDescent="0.25">
      <c r="A8" s="93" t="s">
        <v>1725</v>
      </c>
      <c r="B8" s="93" t="s">
        <v>3542</v>
      </c>
      <c r="C8" s="97">
        <v>98251.95</v>
      </c>
      <c r="D8" s="96"/>
    </row>
    <row r="9" spans="1:4" x14ac:dyDescent="0.25">
      <c r="A9" s="93" t="s">
        <v>1926</v>
      </c>
      <c r="B9" s="93" t="s">
        <v>3549</v>
      </c>
      <c r="C9" s="97">
        <v>34646.449999999997</v>
      </c>
      <c r="D9" s="96"/>
    </row>
    <row r="10" spans="1:4" x14ac:dyDescent="0.25">
      <c r="A10" s="93"/>
      <c r="B10" s="93"/>
      <c r="C10" s="101"/>
      <c r="D10" s="96"/>
    </row>
    <row r="11" spans="1:4" x14ac:dyDescent="0.25">
      <c r="A11" s="114" t="s">
        <v>2199</v>
      </c>
      <c r="C11" s="113">
        <f>SUM(C5:C9)</f>
        <v>523406.69</v>
      </c>
    </row>
    <row r="13" spans="1:4" x14ac:dyDescent="0.25">
      <c r="C13" s="9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2AE3-FE20-43A1-82E6-19AC2ACEDA48}">
  <dimension ref="A1:X53"/>
  <sheetViews>
    <sheetView showGridLines="0" zoomScale="110" zoomScaleNormal="110" workbookViewId="0">
      <pane ySplit="4" topLeftCell="A23" activePane="bottomLeft" state="frozen"/>
      <selection activeCell="G12" sqref="G12"/>
      <selection pane="bottomLeft" activeCell="A3" sqref="A3"/>
    </sheetView>
  </sheetViews>
  <sheetFormatPr defaultRowHeight="15" x14ac:dyDescent="0.25"/>
  <cols>
    <col min="1" max="1" width="4.28515625" customWidth="1"/>
    <col min="2" max="2" width="4.85546875" customWidth="1"/>
    <col min="3" max="3" width="38.7109375" customWidth="1"/>
    <col min="4" max="9" width="16.7109375" hidden="1" customWidth="1"/>
    <col min="10" max="13" width="16.7109375" customWidth="1"/>
    <col min="14" max="14" width="2.7109375" customWidth="1"/>
    <col min="15" max="16" width="2.7109375" style="298" customWidth="1"/>
    <col min="17" max="17" width="2.7109375" style="250" customWidth="1"/>
    <col min="18" max="18" width="12.42578125" style="250" bestFit="1" customWidth="1"/>
    <col min="19" max="21" width="9.140625" style="250"/>
    <col min="22" max="24" width="2.7109375" customWidth="1"/>
  </cols>
  <sheetData>
    <row r="1" spans="1:21" ht="26.25" customHeight="1" x14ac:dyDescent="0.25"/>
    <row r="2" spans="1:21" ht="41.25" customHeight="1" x14ac:dyDescent="0.25">
      <c r="B2" s="329" t="s">
        <v>3459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R2" s="307"/>
    </row>
    <row r="3" spans="1:21" ht="18" customHeight="1" x14ac:dyDescent="0.5">
      <c r="A3" s="8"/>
      <c r="B3" s="8"/>
    </row>
    <row r="4" spans="1:21" ht="36" customHeight="1" x14ac:dyDescent="0.25">
      <c r="A4" s="330" t="s">
        <v>3460</v>
      </c>
      <c r="B4" s="331"/>
      <c r="C4" s="332"/>
      <c r="D4" s="9" t="s">
        <v>3461</v>
      </c>
      <c r="E4" s="9" t="s">
        <v>3513</v>
      </c>
      <c r="F4" s="9" t="s">
        <v>3514</v>
      </c>
      <c r="G4" s="9" t="s">
        <v>3462</v>
      </c>
      <c r="H4" s="9" t="s">
        <v>3463</v>
      </c>
      <c r="I4" s="9" t="s">
        <v>3464</v>
      </c>
      <c r="J4" s="9" t="s">
        <v>3465</v>
      </c>
      <c r="K4" s="9" t="s">
        <v>3466</v>
      </c>
      <c r="L4" s="9" t="s">
        <v>3467</v>
      </c>
      <c r="M4" s="9" t="s">
        <v>3468</v>
      </c>
      <c r="N4" s="296"/>
    </row>
    <row r="5" spans="1:21" s="75" customFormat="1" x14ac:dyDescent="0.25">
      <c r="A5" s="71" t="s">
        <v>3502</v>
      </c>
      <c r="B5" s="72" t="s">
        <v>3469</v>
      </c>
      <c r="C5" s="73"/>
      <c r="D5" s="74"/>
      <c r="E5" s="74"/>
      <c r="F5" s="74"/>
      <c r="H5" s="76"/>
      <c r="I5" s="76"/>
      <c r="J5" s="76"/>
      <c r="K5" s="76"/>
      <c r="L5" s="76"/>
      <c r="M5" s="76"/>
      <c r="O5" s="299"/>
      <c r="P5" s="333" t="s">
        <v>2024</v>
      </c>
      <c r="Q5" s="333"/>
      <c r="R5" s="333"/>
      <c r="S5" s="333"/>
      <c r="T5" s="299"/>
      <c r="U5" s="299"/>
    </row>
    <row r="6" spans="1:21" s="74" customFormat="1" x14ac:dyDescent="0.25">
      <c r="A6" s="77" t="s">
        <v>3471</v>
      </c>
      <c r="B6" s="78"/>
      <c r="C6" s="73" t="s">
        <v>3470</v>
      </c>
      <c r="D6" s="84">
        <f>'001 GF Current Expense'!C7</f>
        <v>5394903.2000000002</v>
      </c>
      <c r="E6" s="82">
        <f>'001 GF Current Expense'!C305</f>
        <v>12754872.9</v>
      </c>
      <c r="F6" s="83">
        <f>'001 GF Current Expense'!C802</f>
        <v>11855770.960000001</v>
      </c>
      <c r="G6" s="79">
        <f>'001 GF Current Expense'!C803</f>
        <v>6294005.1400000006</v>
      </c>
      <c r="H6" s="82">
        <f>'001 GF Current Expense'!I305</f>
        <v>9666905.6799999997</v>
      </c>
      <c r="I6" s="83">
        <f>'001 GF Current Expense'!I802</f>
        <v>11900688.880000003</v>
      </c>
      <c r="J6" s="249">
        <f>'001 GF Current Expense'!H803</f>
        <v>6972649.3751515131</v>
      </c>
      <c r="K6" s="82">
        <f>'001 GF Current Expense'!J305</f>
        <v>10638913.828044135</v>
      </c>
      <c r="L6" s="83">
        <f>'001 GF Current Expense'!J802</f>
        <v>13083688.967839183</v>
      </c>
      <c r="M6" s="286">
        <f>'001 GF Current Expense'!J803</f>
        <v>4527874.2353564631</v>
      </c>
      <c r="N6" s="75" t="s">
        <v>4134</v>
      </c>
      <c r="O6" s="299"/>
      <c r="P6" s="300" t="s">
        <v>4135</v>
      </c>
      <c r="Q6" s="299"/>
      <c r="R6" s="299"/>
      <c r="S6" s="299"/>
      <c r="T6" s="299"/>
      <c r="U6" s="299"/>
    </row>
    <row r="7" spans="1:21" s="74" customFormat="1" x14ac:dyDescent="0.25">
      <c r="A7" s="77" t="s">
        <v>3472</v>
      </c>
      <c r="B7" s="78"/>
      <c r="C7" s="73" t="str">
        <f>'002 GF Contingency Reserve'!A8</f>
        <v>General Fund Contingency Reserve</v>
      </c>
      <c r="D7" s="84">
        <f>'002 GF Contingency Reserve'!C7</f>
        <v>156253.20000000001</v>
      </c>
      <c r="E7" s="82">
        <f>'002 GF Contingency Reserve'!C21</f>
        <v>50200.25</v>
      </c>
      <c r="F7" s="83">
        <f>'002 GF Contingency Reserve'!C24</f>
        <v>0</v>
      </c>
      <c r="G7" s="79">
        <f>'002 GF Contingency Reserve'!C25</f>
        <v>206453.45</v>
      </c>
      <c r="H7" s="82">
        <f>'002 GF Contingency Reserve'!H21</f>
        <v>700000</v>
      </c>
      <c r="I7" s="83">
        <f>'002 GF Contingency Reserve'!H24</f>
        <v>0</v>
      </c>
      <c r="J7" s="79">
        <f>'002 GF Contingency Reserve'!G25</f>
        <v>907049.85000000009</v>
      </c>
      <c r="K7" s="82">
        <f>'002 GF Contingency Reserve'!I21</f>
        <v>110000</v>
      </c>
      <c r="L7" s="83">
        <f>'002 GF Contingency Reserve'!I24</f>
        <v>0</v>
      </c>
      <c r="M7" s="286">
        <f>'002 GF Contingency Reserve'!I25</f>
        <v>1017049.8500000001</v>
      </c>
      <c r="O7" s="299"/>
      <c r="P7" s="299"/>
      <c r="Q7" s="299" t="s">
        <v>4178</v>
      </c>
      <c r="R7" s="299"/>
      <c r="S7" s="299"/>
      <c r="T7" s="299"/>
      <c r="U7" s="299"/>
    </row>
    <row r="8" spans="1:21" s="74" customFormat="1" x14ac:dyDescent="0.25">
      <c r="A8" s="77" t="s">
        <v>3473</v>
      </c>
      <c r="B8" s="78"/>
      <c r="C8" s="73" t="str">
        <f>'003 GF Facilities Reserve'!A8</f>
        <v>Facilities Capital Reserve</v>
      </c>
      <c r="D8" s="84">
        <f>'003 GF Facilities Reserve'!C7</f>
        <v>51153.98</v>
      </c>
      <c r="E8" s="82">
        <f>'003 GF Facilities Reserve'!C22</f>
        <v>1015456.93</v>
      </c>
      <c r="F8" s="83">
        <f>'003 GF Facilities Reserve'!C25</f>
        <v>50000</v>
      </c>
      <c r="G8" s="79">
        <f>'003 GF Facilities Reserve'!C26</f>
        <v>1016610.9100000001</v>
      </c>
      <c r="H8" s="82">
        <f>'003 GF Facilities Reserve'!G22</f>
        <v>600000</v>
      </c>
      <c r="I8" s="83">
        <f>'003 GF Facilities Reserve'!G25</f>
        <v>0</v>
      </c>
      <c r="J8" s="79">
        <f>'003 GF Facilities Reserve'!F26</f>
        <v>1619547.67</v>
      </c>
      <c r="K8" s="82">
        <f>'003 GF Facilities Reserve'!H22</f>
        <v>600000</v>
      </c>
      <c r="L8" s="83">
        <f>'003 GF Facilities Reserve'!H25</f>
        <v>0</v>
      </c>
      <c r="M8" s="286">
        <f>'003 GF Facilities Reserve'!H26</f>
        <v>2219547.67</v>
      </c>
      <c r="O8" s="299"/>
      <c r="P8" s="299"/>
      <c r="Q8" s="299" t="s">
        <v>4180</v>
      </c>
      <c r="R8" s="299"/>
      <c r="S8" s="299"/>
      <c r="T8" s="299"/>
      <c r="U8" s="299"/>
    </row>
    <row r="9" spans="1:21" s="74" customFormat="1" ht="14.25" customHeight="1" x14ac:dyDescent="0.25">
      <c r="A9" s="77" t="s">
        <v>3474</v>
      </c>
      <c r="B9" s="78"/>
      <c r="C9" s="73" t="str">
        <f>'004 GF Leoff '!A8</f>
        <v xml:space="preserve">Leoff 1 Retiree </v>
      </c>
      <c r="D9" s="84">
        <f>'004 GF Leoff '!C7</f>
        <v>989337.56</v>
      </c>
      <c r="E9" s="82">
        <f>'004 GF Leoff '!C22</f>
        <v>671072.47</v>
      </c>
      <c r="F9" s="83">
        <f>'004 GF Leoff '!C27</f>
        <v>33664.730000000003</v>
      </c>
      <c r="G9" s="79">
        <f>'004 GF Leoff '!C28</f>
        <v>1626745.3</v>
      </c>
      <c r="H9" s="82">
        <f>'004 GF Leoff '!G22</f>
        <v>140000</v>
      </c>
      <c r="I9" s="83">
        <f>'004 GF Leoff '!G27</f>
        <v>70000</v>
      </c>
      <c r="J9" s="79">
        <f>'004 GF Leoff '!F28</f>
        <v>1730195.0066666666</v>
      </c>
      <c r="K9" s="82">
        <f>'004 GF Leoff '!H22</f>
        <v>140000</v>
      </c>
      <c r="L9" s="83">
        <f>'004 GF Leoff '!H27</f>
        <v>70000</v>
      </c>
      <c r="M9" s="286">
        <f>'004 GF Leoff '!H28</f>
        <v>1800195.0066666666</v>
      </c>
      <c r="O9" s="299"/>
      <c r="P9" s="299"/>
      <c r="Q9" s="299" t="s">
        <v>4142</v>
      </c>
      <c r="R9" s="299"/>
      <c r="S9" s="299"/>
      <c r="T9" s="299"/>
      <c r="U9" s="299"/>
    </row>
    <row r="10" spans="1:21" s="74" customFormat="1" ht="14.25" customHeight="1" x14ac:dyDescent="0.25">
      <c r="A10" s="77" t="s">
        <v>3475</v>
      </c>
      <c r="B10" s="78"/>
      <c r="C10" s="73" t="str">
        <f>'005 GF Solid Waste UT'!A8</f>
        <v>Solid Waste Utility Tax</v>
      </c>
      <c r="D10" s="84">
        <f>'005 GF Solid Waste UT'!C7</f>
        <v>2008236.58</v>
      </c>
      <c r="E10" s="82">
        <f>'005 GF Solid Waste UT'!C32</f>
        <v>2688087.43</v>
      </c>
      <c r="F10" s="83">
        <f>'005 GF Solid Waste UT'!C47</f>
        <v>1839924.95</v>
      </c>
      <c r="G10" s="79">
        <f>'005 GF Solid Waste UT'!C48</f>
        <v>2856399.0599999996</v>
      </c>
      <c r="H10" s="82">
        <f>'005 GF Solid Waste UT'!G32</f>
        <v>2535000</v>
      </c>
      <c r="I10" s="83">
        <f>'005 GF Solid Waste UT'!G47</f>
        <v>2372932</v>
      </c>
      <c r="J10" s="79">
        <f>'005 GF Solid Waste UT'!F48</f>
        <v>4044732.3</v>
      </c>
      <c r="K10" s="82">
        <f>'005 GF Solid Waste UT'!H32</f>
        <v>2695000</v>
      </c>
      <c r="L10" s="83">
        <f>'005 GF Solid Waste UT'!H47</f>
        <v>2000000</v>
      </c>
      <c r="M10" s="286">
        <f>'005 GF Solid Waste UT'!H48</f>
        <v>4739732.3</v>
      </c>
      <c r="O10" s="299"/>
      <c r="P10" s="299"/>
      <c r="Q10" s="299" t="s">
        <v>4143</v>
      </c>
      <c r="R10" s="299"/>
      <c r="S10" s="299"/>
      <c r="T10" s="299"/>
      <c r="U10" s="299"/>
    </row>
    <row r="11" spans="1:21" s="74" customFormat="1" ht="14.25" customHeight="1" x14ac:dyDescent="0.25">
      <c r="A11" s="77" t="s">
        <v>3476</v>
      </c>
      <c r="B11" s="78"/>
      <c r="C11" s="73" t="str">
        <f>'007 GF PPC Rev'!A8</f>
        <v>Pioneer Pavilion Community Center Operations</v>
      </c>
      <c r="D11" s="84">
        <f>'007 GF PPC Rev'!C7</f>
        <v>29464.76</v>
      </c>
      <c r="E11" s="82">
        <f>'007 GF PPC Rev'!C17</f>
        <v>30262.5</v>
      </c>
      <c r="F11" s="83">
        <f>'007 GF PPC Rev'!C34</f>
        <v>31554.560000000001</v>
      </c>
      <c r="G11" s="79">
        <f>'007 GF PPC Rev'!C35</f>
        <v>28172.699999999993</v>
      </c>
      <c r="H11" s="82">
        <f>'007 GF PPC Rev'!G17</f>
        <v>35500</v>
      </c>
      <c r="I11" s="83">
        <f>'007 GF PPC Rev'!G34</f>
        <v>46422.5</v>
      </c>
      <c r="J11" s="79">
        <f>'007 GF PPC Rev'!F35</f>
        <v>59482.246666666666</v>
      </c>
      <c r="K11" s="82">
        <f>'007 GF PPC Rev'!H17</f>
        <v>30000</v>
      </c>
      <c r="L11" s="83">
        <f>'007 GF PPC Rev'!H34</f>
        <v>50301.54</v>
      </c>
      <c r="M11" s="286">
        <f>'007 GF PPC Rev'!H35</f>
        <v>39180.706666666672</v>
      </c>
      <c r="O11" s="299"/>
      <c r="P11" s="299"/>
      <c r="Q11" s="299" t="s">
        <v>4144</v>
      </c>
      <c r="R11" s="299"/>
      <c r="S11" s="299"/>
      <c r="T11" s="299"/>
      <c r="U11" s="299"/>
    </row>
    <row r="12" spans="1:21" s="74" customFormat="1" x14ac:dyDescent="0.25">
      <c r="A12" s="77" t="s">
        <v>3477</v>
      </c>
      <c r="B12" s="78" t="str">
        <f>'101 Streets'!A8</f>
        <v xml:space="preserve">Street </v>
      </c>
      <c r="C12" s="73"/>
      <c r="D12" s="84">
        <f>'101 Streets'!C7</f>
        <v>290974.3</v>
      </c>
      <c r="E12" s="82">
        <f>'101 Streets'!C92</f>
        <v>1373508.51</v>
      </c>
      <c r="F12" s="83">
        <f>'101 Streets'!C271</f>
        <v>1531871.22</v>
      </c>
      <c r="G12" s="79">
        <f>'101 Streets'!C272</f>
        <v>132611.59000000008</v>
      </c>
      <c r="H12" s="82">
        <f>'101 Streets'!G92</f>
        <v>4355020</v>
      </c>
      <c r="I12" s="83">
        <f>'101 Streets'!G271</f>
        <v>4415153.0100000007</v>
      </c>
      <c r="J12" s="79">
        <f>'101 Streets'!F272</f>
        <v>1849924.5500000003</v>
      </c>
      <c r="K12" s="82">
        <f>'101 Streets'!H92</f>
        <v>5474621</v>
      </c>
      <c r="L12" s="83">
        <f>'101 Streets'!H271</f>
        <v>6438993.0363889206</v>
      </c>
      <c r="M12" s="286">
        <f>'101 Streets'!H272</f>
        <v>885552.51361108012</v>
      </c>
      <c r="N12" s="75" t="s">
        <v>4134</v>
      </c>
      <c r="O12" s="299"/>
      <c r="P12" s="299"/>
      <c r="Q12" s="299" t="s">
        <v>4145</v>
      </c>
      <c r="R12" s="299"/>
      <c r="S12" s="299"/>
      <c r="T12" s="299"/>
      <c r="U12" s="299"/>
    </row>
    <row r="13" spans="1:21" s="74" customFormat="1" x14ac:dyDescent="0.25">
      <c r="A13" s="77" t="s">
        <v>3478</v>
      </c>
      <c r="B13" s="78" t="str">
        <f>'102 Park Mitigation'!A8</f>
        <v>Park Mitigation</v>
      </c>
      <c r="C13" s="73"/>
      <c r="D13" s="84">
        <f>'102 Park Mitigation'!C7</f>
        <v>577328.09</v>
      </c>
      <c r="E13" s="82">
        <f>'102 Park Mitigation'!C23</f>
        <v>162918.82999999999</v>
      </c>
      <c r="F13" s="83">
        <f>'102 Park Mitigation'!C29</f>
        <v>185897.1</v>
      </c>
      <c r="G13" s="79">
        <f>'102 Park Mitigation'!C30</f>
        <v>554349.81999999995</v>
      </c>
      <c r="H13" s="82">
        <f>'102 Park Mitigation'!G23</f>
        <v>100000</v>
      </c>
      <c r="I13" s="83">
        <f>'102 Park Mitigation'!G29</f>
        <v>245489</v>
      </c>
      <c r="J13" s="79">
        <f>'102 Park Mitigation'!F30</f>
        <v>431372.77999999991</v>
      </c>
      <c r="K13" s="82">
        <f>'102 Park Mitigation'!H23</f>
        <v>100000</v>
      </c>
      <c r="L13" s="83">
        <f>'102 Park Mitigation'!H29</f>
        <v>220000</v>
      </c>
      <c r="M13" s="286">
        <f>'102 Park Mitigation'!H30</f>
        <v>311372.77999999991</v>
      </c>
      <c r="O13" s="299"/>
      <c r="P13" s="299"/>
      <c r="Q13" s="299" t="s">
        <v>4146</v>
      </c>
      <c r="R13" s="299"/>
      <c r="S13" s="299"/>
      <c r="T13" s="299"/>
      <c r="U13" s="299"/>
    </row>
    <row r="14" spans="1:21" s="74" customFormat="1" x14ac:dyDescent="0.25">
      <c r="A14" s="77" t="s">
        <v>3479</v>
      </c>
      <c r="B14" s="78" t="str">
        <f>'104 Traffic Mitigation'!A8</f>
        <v>Traffic Mitigation</v>
      </c>
      <c r="C14" s="73"/>
      <c r="D14" s="84">
        <f>'104 Traffic Mitigation'!C7</f>
        <v>1058184.67</v>
      </c>
      <c r="E14" s="82">
        <f>'104 Traffic Mitigation'!C28</f>
        <v>522061.16</v>
      </c>
      <c r="F14" s="83">
        <f>'104 Traffic Mitigation'!C35</f>
        <v>219797.85</v>
      </c>
      <c r="G14" s="79">
        <f>'104 Traffic Mitigation'!C36</f>
        <v>1360447.9799999997</v>
      </c>
      <c r="H14" s="82">
        <f>'104 Traffic Mitigation'!G28</f>
        <v>400000</v>
      </c>
      <c r="I14" s="83">
        <f>'104 Traffic Mitigation'!G35</f>
        <v>905000</v>
      </c>
      <c r="J14" s="79">
        <f>'104 Traffic Mitigation'!F36</f>
        <v>919907.82000000007</v>
      </c>
      <c r="K14" s="82">
        <f>'104 Traffic Mitigation'!H28</f>
        <v>400500</v>
      </c>
      <c r="L14" s="83">
        <f>'104 Traffic Mitigation'!H35</f>
        <v>0</v>
      </c>
      <c r="M14" s="286">
        <f>'104 Traffic Mitigation'!H36</f>
        <v>1320407.82</v>
      </c>
      <c r="O14" s="299"/>
      <c r="P14" s="299"/>
      <c r="Q14" s="299"/>
      <c r="R14" s="299"/>
      <c r="S14" s="299"/>
      <c r="T14" s="299"/>
      <c r="U14" s="299"/>
    </row>
    <row r="15" spans="1:21" s="74" customFormat="1" x14ac:dyDescent="0.25">
      <c r="A15" s="77" t="s">
        <v>3480</v>
      </c>
      <c r="B15" s="78" t="str">
        <f>'106 Criminal Justice'!A8</f>
        <v>Criminal Justice</v>
      </c>
      <c r="C15" s="73"/>
      <c r="D15" s="84">
        <f>'106 Criminal Justice'!C7</f>
        <v>8247.19</v>
      </c>
      <c r="E15" s="82">
        <f>'106 Criminal Justice'!C22</f>
        <v>22012.06</v>
      </c>
      <c r="F15" s="83">
        <f>'106 Criminal Justice'!C28</f>
        <v>25000</v>
      </c>
      <c r="G15" s="79">
        <f>'106 Criminal Justice'!C29</f>
        <v>5259.25</v>
      </c>
      <c r="H15" s="82">
        <f>'106 Criminal Justice'!G22</f>
        <v>24280</v>
      </c>
      <c r="I15" s="83">
        <f>'106 Criminal Justice'!G28</f>
        <v>25000</v>
      </c>
      <c r="J15" s="79">
        <f>'106 Criminal Justice'!F29</f>
        <v>4343.2900000000009</v>
      </c>
      <c r="K15" s="82">
        <f>'106 Criminal Justice'!H22</f>
        <v>26031</v>
      </c>
      <c r="L15" s="83">
        <f>'106 Criminal Justice'!H28</f>
        <v>25000</v>
      </c>
      <c r="M15" s="286">
        <f>'106 Criminal Justice'!H29</f>
        <v>5374.2900000000009</v>
      </c>
      <c r="O15" s="299"/>
      <c r="P15" s="300" t="s">
        <v>4136</v>
      </c>
      <c r="Q15" s="299"/>
      <c r="R15" s="299"/>
      <c r="S15" s="299"/>
      <c r="T15" s="299"/>
      <c r="U15" s="299"/>
    </row>
    <row r="16" spans="1:21" s="74" customFormat="1" x14ac:dyDescent="0.25">
      <c r="A16" s="77" t="s">
        <v>3481</v>
      </c>
      <c r="B16" s="78" t="str">
        <f>'107 Local Criminal Justice'!A8</f>
        <v>Local Criminal Justice</v>
      </c>
      <c r="C16" s="73"/>
      <c r="D16" s="84">
        <f>'107 Local Criminal Justice'!C7</f>
        <v>116792.05</v>
      </c>
      <c r="E16" s="82">
        <f>'107 Local Criminal Justice'!C20</f>
        <v>335828.8</v>
      </c>
      <c r="F16" s="83">
        <f>'107 Local Criminal Justice'!C23</f>
        <v>270000</v>
      </c>
      <c r="G16" s="79">
        <f>'107 Local Criminal Justice'!C24</f>
        <v>182620.84999999998</v>
      </c>
      <c r="H16" s="82">
        <f>'107 Local Criminal Justice'!G20</f>
        <v>260000</v>
      </c>
      <c r="I16" s="83">
        <f>'107 Local Criminal Justice'!G23</f>
        <v>270000</v>
      </c>
      <c r="J16" s="79">
        <f>'107 Local Criminal Justice'!F24</f>
        <v>299724.23666666658</v>
      </c>
      <c r="K16" s="82">
        <f>'107 Local Criminal Justice'!H20</f>
        <v>262500</v>
      </c>
      <c r="L16" s="83">
        <f>'107 Local Criminal Justice'!H23</f>
        <v>400000</v>
      </c>
      <c r="M16" s="286">
        <f>'107 Local Criminal Justice'!H24</f>
        <v>162224.23666666658</v>
      </c>
      <c r="O16" s="299"/>
      <c r="P16" s="299"/>
      <c r="Q16" s="299" t="s">
        <v>4147</v>
      </c>
      <c r="R16" s="299"/>
      <c r="S16" s="299"/>
      <c r="T16" s="299"/>
      <c r="U16" s="299"/>
    </row>
    <row r="17" spans="1:24" s="74" customFormat="1" x14ac:dyDescent="0.25">
      <c r="A17" s="77" t="s">
        <v>3482</v>
      </c>
      <c r="B17" s="78" t="str">
        <f>'113 TBD'!A8</f>
        <v>Transportation Benefit District .2% Sales Tax Rev.</v>
      </c>
      <c r="C17" s="73"/>
      <c r="D17" s="84">
        <f>'113 TBD'!C7</f>
        <v>1220230.1399999999</v>
      </c>
      <c r="E17" s="82">
        <f>'113 TBD'!C21</f>
        <v>798496.89</v>
      </c>
      <c r="F17" s="83">
        <f>'113 TBD'!C28</f>
        <v>0</v>
      </c>
      <c r="G17" s="79">
        <f>'113 TBD'!C29</f>
        <v>2018727.0299999998</v>
      </c>
      <c r="H17" s="82">
        <f>'113 TBD'!G21</f>
        <v>658823.53</v>
      </c>
      <c r="I17" s="83">
        <f>'113 TBD'!G28</f>
        <v>660000</v>
      </c>
      <c r="J17" s="79">
        <f>'113 TBD'!F29</f>
        <v>2308218.8166666669</v>
      </c>
      <c r="K17" s="82">
        <f>'113 TBD'!H21</f>
        <v>798176.47130000009</v>
      </c>
      <c r="L17" s="83">
        <f>'113 TBD'!H28</f>
        <v>500000</v>
      </c>
      <c r="M17" s="286">
        <f>'113 TBD'!H29</f>
        <v>2606395.2879666667</v>
      </c>
      <c r="O17" s="299"/>
      <c r="P17" s="299"/>
      <c r="Q17" s="299"/>
      <c r="R17" s="299" t="s">
        <v>4148</v>
      </c>
      <c r="S17" s="299"/>
      <c r="T17" s="299"/>
      <c r="U17" s="299"/>
    </row>
    <row r="18" spans="1:24" s="74" customFormat="1" x14ac:dyDescent="0.25">
      <c r="A18" s="77" t="s">
        <v>3483</v>
      </c>
      <c r="B18" s="78" t="str">
        <f>'114 Streets'!A8</f>
        <v>Complete Streets</v>
      </c>
      <c r="C18" s="73"/>
      <c r="D18" s="84">
        <f>'114 Streets'!C7</f>
        <v>9545.36</v>
      </c>
      <c r="E18" s="82">
        <f>'114 Streets'!C11</f>
        <v>0</v>
      </c>
      <c r="F18" s="83">
        <f>'114 Streets'!C20</f>
        <v>9545.36</v>
      </c>
      <c r="G18" s="79">
        <f>'114 Streets'!C21</f>
        <v>0</v>
      </c>
      <c r="H18" s="82">
        <f>'114 Streets'!G11</f>
        <v>0</v>
      </c>
      <c r="I18" s="83">
        <f>'114 Streets'!G20</f>
        <v>0</v>
      </c>
      <c r="J18" s="79">
        <f>'114 Streets'!F21</f>
        <v>0</v>
      </c>
      <c r="K18" s="82">
        <f>'114 Streets'!H11</f>
        <v>0</v>
      </c>
      <c r="L18" s="83">
        <f>'114 Streets'!H20</f>
        <v>0</v>
      </c>
      <c r="M18" s="286">
        <f>'114 Streets'!H21</f>
        <v>0</v>
      </c>
      <c r="O18" s="299"/>
      <c r="P18" s="299"/>
      <c r="Q18" s="299"/>
      <c r="R18" s="299" t="s">
        <v>4149</v>
      </c>
      <c r="S18" s="299"/>
      <c r="T18" s="299"/>
      <c r="U18" s="299"/>
    </row>
    <row r="19" spans="1:24" s="74" customFormat="1" x14ac:dyDescent="0.25">
      <c r="A19" s="77" t="s">
        <v>3484</v>
      </c>
      <c r="B19" s="78" t="str">
        <f>'115 ARPA'!A8</f>
        <v>American Rescue Plan Act (ARPA)</v>
      </c>
      <c r="C19" s="73"/>
      <c r="D19" s="84">
        <f>'115 ARPA'!C7</f>
        <v>0</v>
      </c>
      <c r="E19" s="82">
        <f>'115 ARPA'!C10</f>
        <v>2081265</v>
      </c>
      <c r="F19" s="83">
        <f>'115 ARPA'!C26</f>
        <v>65507.32</v>
      </c>
      <c r="G19" s="79">
        <f>'115 ARPA'!C27</f>
        <v>2015757.68</v>
      </c>
      <c r="H19" s="82">
        <f>'115 ARPA'!G10</f>
        <v>2079234</v>
      </c>
      <c r="I19" s="83">
        <f>'115 ARPA'!G26</f>
        <v>2000000.04</v>
      </c>
      <c r="J19" s="79">
        <f>'115 ARPA'!F27</f>
        <v>2252577.34</v>
      </c>
      <c r="K19" s="82">
        <f>'115 ARPA'!H10</f>
        <v>0</v>
      </c>
      <c r="L19" s="83">
        <f>'115 ARPA'!H26</f>
        <v>1000000</v>
      </c>
      <c r="M19" s="286">
        <f>'115 ARPA'!H27</f>
        <v>1252577.3399999999</v>
      </c>
      <c r="O19" s="299"/>
      <c r="P19" s="299"/>
      <c r="Q19" s="299"/>
      <c r="R19" s="299" t="s">
        <v>4150</v>
      </c>
      <c r="S19" s="299"/>
      <c r="T19" s="299"/>
      <c r="U19" s="299"/>
    </row>
    <row r="20" spans="1:24" s="74" customFormat="1" x14ac:dyDescent="0.25">
      <c r="A20" s="77" t="s">
        <v>3485</v>
      </c>
      <c r="B20" s="78" t="str">
        <f>'198 Hotel Motel'!A8</f>
        <v>Hotel Motel</v>
      </c>
      <c r="C20" s="73"/>
      <c r="D20" s="84">
        <f>'198 Hotel Motel'!C7</f>
        <v>105842.29</v>
      </c>
      <c r="E20" s="82">
        <f>+'198 Hotel Motel'!C17</f>
        <v>54992.639999999999</v>
      </c>
      <c r="F20" s="83">
        <f>+'198 Hotel Motel'!C35</f>
        <v>53388.29</v>
      </c>
      <c r="G20" s="79">
        <f>+'198 Hotel Motel'!C36</f>
        <v>107446.63999999998</v>
      </c>
      <c r="H20" s="82">
        <f>+'198 Hotel Motel'!G17</f>
        <v>20000</v>
      </c>
      <c r="I20" s="83">
        <f>+'198 Hotel Motel'!G35</f>
        <v>78025</v>
      </c>
      <c r="J20" s="79">
        <f>+'198 Hotel Motel'!F36</f>
        <v>147626.08000000002</v>
      </c>
      <c r="K20" s="82">
        <f>+'198 Hotel Motel'!H17</f>
        <v>56100</v>
      </c>
      <c r="L20" s="83">
        <f>+'198 Hotel Motel'!H35</f>
        <v>75821</v>
      </c>
      <c r="M20" s="286">
        <f>+'198 Hotel Motel'!H36</f>
        <v>127905.08000000002</v>
      </c>
      <c r="O20" s="299"/>
      <c r="P20" s="299"/>
      <c r="Q20" s="299"/>
      <c r="R20" s="299" t="s">
        <v>4151</v>
      </c>
      <c r="S20" s="299"/>
      <c r="T20" s="299"/>
      <c r="U20" s="299"/>
    </row>
    <row r="21" spans="1:24" s="74" customFormat="1" x14ac:dyDescent="0.25">
      <c r="A21" s="77" t="s">
        <v>3486</v>
      </c>
      <c r="B21" s="78" t="str">
        <f>'214 SPL Debt'!A8</f>
        <v>Street/Parks/Land Debt Service</v>
      </c>
      <c r="C21" s="73"/>
      <c r="D21" s="84">
        <f>'214 SPL Debt'!C7</f>
        <v>11045.05</v>
      </c>
      <c r="E21" s="82">
        <f>+'214 SPL Debt'!C22</f>
        <v>115584.92</v>
      </c>
      <c r="F21" s="83">
        <f>+'214 SPL Debt'!C35</f>
        <v>120897</v>
      </c>
      <c r="G21" s="79">
        <f>+'214 SPL Debt'!C36</f>
        <v>5732.9700000000012</v>
      </c>
      <c r="H21" s="82">
        <f>+'214 SPL Debt'!G22</f>
        <v>119697</v>
      </c>
      <c r="I21" s="83">
        <f>+'214 SPL Debt'!G35</f>
        <v>119697</v>
      </c>
      <c r="J21" s="79">
        <f>+'214 SPL Debt'!F36</f>
        <v>5734.0500000000029</v>
      </c>
      <c r="K21" s="82">
        <f>+'214 SPL Debt'!H22</f>
        <v>120000</v>
      </c>
      <c r="L21" s="83">
        <f>+'214 SPL Debt'!H35</f>
        <v>118497</v>
      </c>
      <c r="M21" s="286">
        <f>+'214 SPL Debt'!H36</f>
        <v>7237.0500000000029</v>
      </c>
      <c r="O21" s="299"/>
      <c r="P21" s="299"/>
      <c r="Q21" s="299" t="s">
        <v>4174</v>
      </c>
      <c r="R21" s="299"/>
      <c r="S21" s="299"/>
      <c r="T21" s="299"/>
      <c r="U21" s="299"/>
    </row>
    <row r="22" spans="1:24" s="74" customFormat="1" x14ac:dyDescent="0.25">
      <c r="A22" s="77" t="s">
        <v>3487</v>
      </c>
      <c r="B22" s="78" t="str">
        <f>'215 LaBounty Bond'!A8</f>
        <v>Labounty LID 2006-1 Bond Redemption</v>
      </c>
      <c r="C22" s="73"/>
      <c r="D22" s="84">
        <f>+'215 LaBounty Bond'!C7</f>
        <v>32829.660000000003</v>
      </c>
      <c r="E22" s="82">
        <f>+'215 LaBounty Bond'!C28</f>
        <v>18557.310000000001</v>
      </c>
      <c r="F22" s="83">
        <f>+'215 LaBounty Bond'!C43</f>
        <v>36612</v>
      </c>
      <c r="G22" s="79">
        <f>+'215 LaBounty Bond'!C44</f>
        <v>14774.970000000001</v>
      </c>
      <c r="H22" s="82">
        <f>+'215 LaBounty Bond'!G28</f>
        <v>17424.3</v>
      </c>
      <c r="I22" s="83">
        <f>+'215 LaBounty Bond'!G43</f>
        <v>30902</v>
      </c>
      <c r="J22" s="79">
        <f>+'215 LaBounty Bond'!F44</f>
        <v>13.35666666666657</v>
      </c>
      <c r="K22" s="82">
        <f>+'215 LaBounty Bond'!H28</f>
        <v>22000</v>
      </c>
      <c r="L22" s="83">
        <f>+'215 LaBounty Bond'!H43</f>
        <v>19772.23</v>
      </c>
      <c r="M22" s="286">
        <f>+'215 LaBounty Bond'!H44</f>
        <v>2241.126666666667</v>
      </c>
      <c r="O22" s="299"/>
      <c r="P22" s="299"/>
      <c r="Q22" s="299" t="s">
        <v>4152</v>
      </c>
      <c r="R22" s="299"/>
      <c r="S22" s="299"/>
      <c r="T22" s="299"/>
      <c r="U22" s="299"/>
    </row>
    <row r="23" spans="1:24" s="74" customFormat="1" x14ac:dyDescent="0.25">
      <c r="A23" s="77" t="s">
        <v>3488</v>
      </c>
      <c r="B23" s="78" t="str">
        <f>'216 LaBounty Bond '!A8</f>
        <v>LaBounty LID 2006-1 Bond Guarantee</v>
      </c>
      <c r="C23" s="73"/>
      <c r="D23" s="84">
        <f>+'216 LaBounty Bond '!C7</f>
        <v>29799.599999999999</v>
      </c>
      <c r="E23" s="82">
        <f>+'216 LaBounty Bond '!C15</f>
        <v>31.43</v>
      </c>
      <c r="F23" s="83">
        <f>+'216 LaBounty Bond '!C18</f>
        <v>0</v>
      </c>
      <c r="G23" s="79">
        <f>+'216 LaBounty Bond '!C19</f>
        <v>29831.03</v>
      </c>
      <c r="H23" s="82">
        <f>+'216 LaBounty Bond '!G15</f>
        <v>0</v>
      </c>
      <c r="I23" s="83">
        <f>+'216 LaBounty Bond '!G18</f>
        <v>0</v>
      </c>
      <c r="J23" s="79">
        <f>+'216 LaBounty Bond '!F19</f>
        <v>29917.203333333331</v>
      </c>
      <c r="K23" s="82">
        <f>+'216 LaBounty Bond '!H15</f>
        <v>0</v>
      </c>
      <c r="L23" s="83">
        <f>+'216 LaBounty Bond '!H18</f>
        <v>5000</v>
      </c>
      <c r="M23" s="286">
        <f>+'216 LaBounty Bond '!H19</f>
        <v>24917.203333333331</v>
      </c>
      <c r="O23" s="299"/>
      <c r="P23" s="299"/>
      <c r="Q23" s="299" t="s">
        <v>4153</v>
      </c>
      <c r="R23" s="299"/>
      <c r="S23" s="299"/>
      <c r="T23" s="299"/>
      <c r="U23" s="299"/>
    </row>
    <row r="24" spans="1:24" s="74" customFormat="1" x14ac:dyDescent="0.25">
      <c r="A24" s="77" t="s">
        <v>3489</v>
      </c>
      <c r="B24" s="78" t="str">
        <f>'217 LaBounty GO'!A8</f>
        <v>LaBounty GO Bond Debt Service</v>
      </c>
      <c r="C24" s="73"/>
      <c r="D24" s="84">
        <f>+'217 LaBounty GO'!C7</f>
        <v>153.15</v>
      </c>
      <c r="E24" s="82">
        <f>+'217 LaBounty GO'!C19</f>
        <v>77066.34</v>
      </c>
      <c r="F24" s="83">
        <f>+'217 LaBounty GO'!C30</f>
        <v>77066.22</v>
      </c>
      <c r="G24" s="79">
        <f>+'217 LaBounty GO'!C31</f>
        <v>153.26999999998952</v>
      </c>
      <c r="H24" s="82">
        <f>+'217 LaBounty GO'!G19</f>
        <v>0</v>
      </c>
      <c r="I24" s="83">
        <f>+'217 LaBounty GO'!G30</f>
        <v>0</v>
      </c>
      <c r="J24" s="79">
        <f>+'217 LaBounty GO'!F31</f>
        <v>153.55000000000001</v>
      </c>
      <c r="K24" s="82">
        <f>+'217 LaBounty GO'!H19</f>
        <v>0</v>
      </c>
      <c r="L24" s="83">
        <f>+'217 LaBounty GO'!H30</f>
        <v>0</v>
      </c>
      <c r="M24" s="286">
        <f>+'217 LaBounty GO'!H31</f>
        <v>153.55000000000001</v>
      </c>
      <c r="O24" s="299"/>
      <c r="P24" s="299"/>
      <c r="Q24" s="299" t="s">
        <v>4154</v>
      </c>
      <c r="R24" s="299"/>
      <c r="S24" s="299"/>
      <c r="T24" s="299"/>
      <c r="U24" s="299"/>
    </row>
    <row r="25" spans="1:24" s="74" customFormat="1" x14ac:dyDescent="0.25">
      <c r="A25" s="77" t="s">
        <v>3490</v>
      </c>
      <c r="B25" s="78" t="str">
        <f>'218 LTGO Bond'!A8</f>
        <v>2010 Limited Tax General Obligation Bond Redemption</v>
      </c>
      <c r="C25" s="73"/>
      <c r="D25" s="84">
        <f>+'218 LTGO Bond'!C7</f>
        <v>-230675.54</v>
      </c>
      <c r="E25" s="82">
        <f>+'218 LTGO Bond'!C34</f>
        <v>565008.56999999995</v>
      </c>
      <c r="F25" s="83">
        <f>+'218 LTGO Bond'!C49</f>
        <v>319760</v>
      </c>
      <c r="G25" s="79">
        <f>+'218 LTGO Bond'!C50</f>
        <v>14573.029999999912</v>
      </c>
      <c r="H25" s="82">
        <f>+'218 LTGO Bond'!G34</f>
        <v>315207</v>
      </c>
      <c r="I25" s="83">
        <f>+'218 LTGO Bond'!G49</f>
        <v>315906</v>
      </c>
      <c r="J25" s="79">
        <f>+'218 LTGO Bond'!F50</f>
        <v>13876.390000000014</v>
      </c>
      <c r="K25" s="82">
        <f>+'218 LTGO Bond'!H34</f>
        <v>315000</v>
      </c>
      <c r="L25" s="83">
        <f>+'218 LTGO Bond'!H49</f>
        <v>316820.40000000002</v>
      </c>
      <c r="M25" s="286">
        <f>+'218 LTGO Bond'!H50</f>
        <v>12055.989999999991</v>
      </c>
      <c r="O25" s="299"/>
      <c r="P25" s="299"/>
      <c r="Q25" s="299"/>
      <c r="R25" s="299"/>
      <c r="S25" s="299"/>
      <c r="T25" s="299"/>
      <c r="U25" s="299"/>
    </row>
    <row r="26" spans="1:24" s="74" customFormat="1" x14ac:dyDescent="0.25">
      <c r="A26" s="77" t="s">
        <v>3491</v>
      </c>
      <c r="B26" s="78" t="str">
        <f>'219 LTGO'!A8</f>
        <v>2011 Limited Tax General Oblig Bond Redemption</v>
      </c>
      <c r="C26" s="73"/>
      <c r="D26" s="84">
        <f>+'219 LTGO'!C7</f>
        <v>1996.44</v>
      </c>
      <c r="E26" s="82">
        <f>+'219 LTGO'!C20</f>
        <v>158802.1</v>
      </c>
      <c r="F26" s="83">
        <f>+'219 LTGO'!C32</f>
        <v>158800</v>
      </c>
      <c r="G26" s="79">
        <f>+'219 LTGO'!C33</f>
        <v>1998.5400000000081</v>
      </c>
      <c r="H26" s="82">
        <f>+'219 LTGO'!G20</f>
        <v>163600</v>
      </c>
      <c r="I26" s="83">
        <f>+'219 LTGO'!G32</f>
        <v>163950</v>
      </c>
      <c r="J26" s="79">
        <f>+'219 LTGO'!F33</f>
        <v>1654.3133333333535</v>
      </c>
      <c r="K26" s="82">
        <f>+'219 LTGO'!H20</f>
        <v>170000</v>
      </c>
      <c r="L26" s="83">
        <f>+'219 LTGO'!H32</f>
        <v>163000</v>
      </c>
      <c r="M26" s="286">
        <f>+'219 LTGO'!H33</f>
        <v>8654.3133333333535</v>
      </c>
      <c r="O26" s="299"/>
      <c r="P26" s="300" t="s">
        <v>4137</v>
      </c>
      <c r="Q26" s="299"/>
      <c r="R26" s="299"/>
      <c r="S26" s="299"/>
      <c r="T26" s="299"/>
      <c r="U26" s="299"/>
      <c r="V26" s="300" t="s">
        <v>4138</v>
      </c>
      <c r="W26" s="299"/>
      <c r="X26" s="299"/>
    </row>
    <row r="27" spans="1:24" s="74" customFormat="1" x14ac:dyDescent="0.25">
      <c r="A27" s="77" t="s">
        <v>3492</v>
      </c>
      <c r="B27" s="78" t="str">
        <f>'220 Library LTGO'!A8</f>
        <v xml:space="preserve">2013 Library LTGO Bond Redemption </v>
      </c>
      <c r="C27" s="73"/>
      <c r="D27" s="84">
        <f>+'220 Library LTGO'!C7</f>
        <v>296.12</v>
      </c>
      <c r="E27" s="82">
        <f>+'220 Library LTGO'!C14</f>
        <v>186485.02</v>
      </c>
      <c r="F27" s="83">
        <f>+'220 Library LTGO'!C18</f>
        <v>186072</v>
      </c>
      <c r="G27" s="79">
        <f>+'220 Library LTGO'!C19</f>
        <v>709.13999999998487</v>
      </c>
      <c r="H27" s="82">
        <f>+'220 Library LTGO'!G14</f>
        <v>186073</v>
      </c>
      <c r="I27" s="83">
        <f>+'220 Library LTGO'!G18</f>
        <v>186073</v>
      </c>
      <c r="J27" s="79">
        <f>+'220 Library LTGO'!F19</f>
        <v>46511.353333333333</v>
      </c>
      <c r="K27" s="82">
        <f>+'220 Library LTGO'!H14</f>
        <v>174000</v>
      </c>
      <c r="L27" s="83">
        <f>+'220 Library LTGO'!H18</f>
        <v>187100.96</v>
      </c>
      <c r="M27" s="286">
        <f>+'220 Library LTGO'!H19</f>
        <v>33410.393333333341</v>
      </c>
      <c r="O27" s="299"/>
      <c r="P27" s="299"/>
      <c r="Q27" s="299" t="s">
        <v>4147</v>
      </c>
      <c r="R27" s="299"/>
      <c r="S27" s="299"/>
      <c r="T27" s="299"/>
      <c r="U27" s="299"/>
      <c r="V27" s="299"/>
      <c r="W27" s="299" t="s">
        <v>4162</v>
      </c>
      <c r="X27" s="299"/>
    </row>
    <row r="28" spans="1:24" s="74" customFormat="1" x14ac:dyDescent="0.25">
      <c r="A28" s="77" t="s">
        <v>3493</v>
      </c>
      <c r="B28" s="78" t="str">
        <f>'301 REET'!A8</f>
        <v>Real Estate Excise Tax - First 1/4 Percent</v>
      </c>
      <c r="C28" s="73"/>
      <c r="D28" s="84">
        <f>'301 REET'!C7</f>
        <v>897191.34</v>
      </c>
      <c r="E28" s="82">
        <f>+'301 REET'!C13</f>
        <v>843107.88</v>
      </c>
      <c r="F28" s="83">
        <f>+'301 REET'!C22</f>
        <v>876554.12</v>
      </c>
      <c r="G28" s="79">
        <f>+'301 REET'!C23</f>
        <v>863745.1</v>
      </c>
      <c r="H28" s="82">
        <f>+'301 REET'!G13</f>
        <v>300000</v>
      </c>
      <c r="I28" s="83">
        <f>+'301 REET'!G22</f>
        <v>420809</v>
      </c>
      <c r="J28" s="79">
        <f>+'301 REET'!F23</f>
        <v>1148531.58</v>
      </c>
      <c r="K28" s="82">
        <f>+'301 REET'!H13</f>
        <v>300000</v>
      </c>
      <c r="L28" s="83">
        <f>+'301 REET'!H22</f>
        <v>285000</v>
      </c>
      <c r="M28" s="286">
        <f>+'301 REET'!H23</f>
        <v>1163531.58</v>
      </c>
      <c r="O28" s="299"/>
      <c r="P28" s="299"/>
      <c r="Q28" s="299"/>
      <c r="R28" s="299" t="s">
        <v>4155</v>
      </c>
      <c r="S28" s="299"/>
      <c r="T28" s="299"/>
      <c r="U28" s="299"/>
    </row>
    <row r="29" spans="1:24" s="74" customFormat="1" x14ac:dyDescent="0.25">
      <c r="A29" s="77" t="s">
        <v>3494</v>
      </c>
      <c r="B29" s="78" t="str">
        <f>'302 REET'!A8</f>
        <v>Real Estate Excise Tax - Second 1/4 Percent</v>
      </c>
      <c r="C29" s="73"/>
      <c r="D29" s="84">
        <f>+'302 REET'!C7</f>
        <v>1420620.11</v>
      </c>
      <c r="E29" s="82">
        <f>+'302 REET'!C14</f>
        <v>843586.19</v>
      </c>
      <c r="F29" s="83">
        <f>+'302 REET'!C22</f>
        <v>62875.93</v>
      </c>
      <c r="G29" s="79">
        <f>+'302 REET'!C23</f>
        <v>2201330.3699999996</v>
      </c>
      <c r="H29" s="82">
        <f>+'302 REET'!G14</f>
        <v>300000</v>
      </c>
      <c r="I29" s="83">
        <f>+'302 REET'!G22</f>
        <v>985000</v>
      </c>
      <c r="J29" s="79">
        <f>+'302 REET'!F23</f>
        <v>1923980.6500000004</v>
      </c>
      <c r="K29" s="82">
        <f>+'302 REET'!H14</f>
        <v>300000</v>
      </c>
      <c r="L29" s="83">
        <f>+'302 REET'!H22</f>
        <v>375000</v>
      </c>
      <c r="M29" s="286">
        <f>+'302 REET'!H23</f>
        <v>1848980.6500000004</v>
      </c>
      <c r="O29" s="299"/>
      <c r="P29" s="299"/>
      <c r="Q29" s="299"/>
      <c r="R29" s="299" t="s">
        <v>4156</v>
      </c>
      <c r="S29" s="299"/>
      <c r="T29" s="299"/>
      <c r="U29" s="299"/>
      <c r="V29" s="300" t="s">
        <v>4141</v>
      </c>
      <c r="W29" s="299"/>
      <c r="X29" s="299"/>
    </row>
    <row r="30" spans="1:24" s="74" customFormat="1" x14ac:dyDescent="0.25">
      <c r="A30" s="77" t="s">
        <v>3495</v>
      </c>
      <c r="B30" s="78" t="str">
        <f>'310 MW Skate Park'!A8</f>
        <v>Metalworks Skate Park</v>
      </c>
      <c r="C30" s="73"/>
      <c r="D30" s="84">
        <f>+'310 MW Skate Park'!C7</f>
        <v>0</v>
      </c>
      <c r="E30" s="82">
        <f>+'310 MW Skate Park'!C16</f>
        <v>15662.24</v>
      </c>
      <c r="F30" s="83">
        <f>+'310 MW Skate Park'!C26</f>
        <v>15662.24</v>
      </c>
      <c r="G30" s="79">
        <f>+'310 MW Skate Park'!C27</f>
        <v>0</v>
      </c>
      <c r="H30" s="82">
        <f>+'310 MW Skate Park'!G16</f>
        <v>1000000</v>
      </c>
      <c r="I30" s="83">
        <f>+'310 MW Skate Park'!G26</f>
        <v>1000000</v>
      </c>
      <c r="J30" s="79">
        <f>+'310 MW Skate Park'!F27</f>
        <v>290366.65333333332</v>
      </c>
      <c r="K30" s="82">
        <f>+'310 MW Skate Park'!H16</f>
        <v>905000</v>
      </c>
      <c r="L30" s="83">
        <f>+'310 MW Skate Park'!H26</f>
        <v>1000995.014</v>
      </c>
      <c r="M30" s="286">
        <f>+'310 MW Skate Park'!H27</f>
        <v>194371.63933333335</v>
      </c>
      <c r="O30" s="299"/>
      <c r="P30" s="299"/>
      <c r="Q30" s="299"/>
      <c r="R30" s="299" t="s">
        <v>4157</v>
      </c>
      <c r="S30" s="299"/>
      <c r="T30" s="299"/>
      <c r="U30" s="299"/>
      <c r="V30" s="299"/>
      <c r="W30" s="299" t="s">
        <v>4147</v>
      </c>
      <c r="X30" s="299"/>
    </row>
    <row r="31" spans="1:24" s="74" customFormat="1" x14ac:dyDescent="0.25">
      <c r="A31" s="77" t="s">
        <v>3496</v>
      </c>
      <c r="B31" s="78" t="str">
        <f>'370 Thornton'!A8</f>
        <v xml:space="preserve">Thornton Road Construction </v>
      </c>
      <c r="C31" s="73"/>
      <c r="D31" s="84">
        <f>+'370 Thornton'!C7</f>
        <v>447619.74</v>
      </c>
      <c r="E31" s="82">
        <f>+'370 Thornton'!C29</f>
        <v>2626760.94</v>
      </c>
      <c r="F31" s="83">
        <f>+'370 Thornton'!C48</f>
        <v>2151109.7400000002</v>
      </c>
      <c r="G31" s="79">
        <f>+'370 Thornton'!C49</f>
        <v>923270.93999999948</v>
      </c>
      <c r="H31" s="82">
        <f>+'370 Thornton'!G29</f>
        <v>14500000</v>
      </c>
      <c r="I31" s="83">
        <f>+'370 Thornton'!G48</f>
        <v>14520000</v>
      </c>
      <c r="J31" s="79">
        <f>+'370 Thornton'!F49</f>
        <v>321533.43333333079</v>
      </c>
      <c r="K31" s="82">
        <f>+'370 Thornton'!H29</f>
        <v>7300000</v>
      </c>
      <c r="L31" s="83">
        <f>+'370 Thornton'!H48</f>
        <v>7275000</v>
      </c>
      <c r="M31" s="286">
        <f>+'370 Thornton'!H49</f>
        <v>346533.43333333079</v>
      </c>
      <c r="O31" s="299"/>
      <c r="P31" s="299"/>
      <c r="Q31" s="299"/>
      <c r="R31" s="299" t="s">
        <v>4158</v>
      </c>
      <c r="S31" s="299"/>
      <c r="T31" s="299"/>
      <c r="U31" s="299"/>
      <c r="V31" s="299"/>
      <c r="W31" s="299"/>
      <c r="X31" s="299" t="s">
        <v>4163</v>
      </c>
    </row>
    <row r="32" spans="1:24" s="74" customFormat="1" x14ac:dyDescent="0.25">
      <c r="A32" s="77" t="s">
        <v>3497</v>
      </c>
      <c r="B32" s="78" t="str">
        <f>'401 Water'!A8</f>
        <v xml:space="preserve">Water </v>
      </c>
      <c r="C32" s="73"/>
      <c r="D32" s="84">
        <f>+'401 Water'!C7</f>
        <v>2986587.26</v>
      </c>
      <c r="E32" s="82">
        <f>+'401 Water'!C91</f>
        <v>4945048.68</v>
      </c>
      <c r="F32" s="83">
        <f>+'401 Water'!C253</f>
        <v>3489754.88</v>
      </c>
      <c r="G32" s="79">
        <f>+'401 Water'!C254</f>
        <v>4441881.0599999996</v>
      </c>
      <c r="H32" s="82">
        <f>+'401 Water'!G91</f>
        <v>5062568</v>
      </c>
      <c r="I32" s="83">
        <f>+'401 Water'!G253</f>
        <v>6129015.2899999991</v>
      </c>
      <c r="J32" s="79">
        <f>+'401 Water'!F254</f>
        <v>6607163.2633333346</v>
      </c>
      <c r="K32" s="82">
        <f>+'401 Water'!H91</f>
        <v>5795657.1330000004</v>
      </c>
      <c r="L32" s="83">
        <f>+'401 Water'!H253</f>
        <v>7614064.8366414728</v>
      </c>
      <c r="M32" s="286">
        <f>+'401 Water'!H254</f>
        <v>4788755.5596918622</v>
      </c>
      <c r="N32" s="75" t="s">
        <v>4134</v>
      </c>
      <c r="O32" s="299"/>
      <c r="P32" s="299"/>
      <c r="Q32" s="299" t="s">
        <v>4175</v>
      </c>
      <c r="R32" s="299"/>
      <c r="S32" s="299"/>
      <c r="T32" s="299"/>
      <c r="U32" s="299"/>
      <c r="V32" s="299"/>
      <c r="W32" s="299"/>
      <c r="X32" s="299" t="s">
        <v>4165</v>
      </c>
    </row>
    <row r="33" spans="1:24" s="74" customFormat="1" x14ac:dyDescent="0.25">
      <c r="A33" s="77" t="s">
        <v>3498</v>
      </c>
      <c r="B33" s="78" t="str">
        <f>'402 Sewer'!A8</f>
        <v xml:space="preserve">Sewer </v>
      </c>
      <c r="C33" s="73"/>
      <c r="D33" s="84">
        <f>+'402 Sewer'!C7</f>
        <v>6968582.8200000003</v>
      </c>
      <c r="E33" s="82">
        <f>+'402 Sewer'!C66</f>
        <v>7170675.2699999996</v>
      </c>
      <c r="F33" s="83">
        <f>+'402 Sewer'!C215</f>
        <v>5135935.75</v>
      </c>
      <c r="G33" s="79">
        <f>+'402 Sewer'!C216</f>
        <v>9003322.3399999999</v>
      </c>
      <c r="H33" s="82">
        <f>+'402 Sewer'!G66</f>
        <v>6067252</v>
      </c>
      <c r="I33" s="83">
        <f>+'402 Sewer'!G215</f>
        <v>7056704.2899999991</v>
      </c>
      <c r="J33" s="79">
        <f>+'402 Sewer'!F216</f>
        <v>10581348.820000002</v>
      </c>
      <c r="K33" s="82">
        <f>+'402 Sewer'!H66</f>
        <v>6400584.023</v>
      </c>
      <c r="L33" s="83">
        <f>+'402 Sewer'!H215</f>
        <v>5151921.6472264156</v>
      </c>
      <c r="M33" s="286">
        <f>+'402 Sewer'!H216</f>
        <v>11830011.195773587</v>
      </c>
      <c r="O33" s="299"/>
      <c r="P33" s="299"/>
      <c r="Q33" s="299" t="s">
        <v>4159</v>
      </c>
      <c r="R33" s="299"/>
      <c r="S33" s="299"/>
      <c r="T33" s="299"/>
      <c r="U33" s="299"/>
      <c r="X33" s="299" t="s">
        <v>4166</v>
      </c>
    </row>
    <row r="34" spans="1:24" s="74" customFormat="1" x14ac:dyDescent="0.25">
      <c r="A34" s="77" t="s">
        <v>3499</v>
      </c>
      <c r="B34" s="78" t="str">
        <f>'403 WS Bond'!A8</f>
        <v>2005/2011 Water/Sewer Bond Redemption</v>
      </c>
      <c r="C34" s="73"/>
      <c r="D34" s="84">
        <f>+'403 WS Bond'!C7</f>
        <v>3843.98</v>
      </c>
      <c r="E34" s="82">
        <f>+'403 WS Bond'!C23</f>
        <v>1568874.74</v>
      </c>
      <c r="F34" s="83">
        <f>+'403 WS Bond'!C56</f>
        <v>1568754.23</v>
      </c>
      <c r="G34" s="79">
        <f>+'403 WS Bond'!C57</f>
        <v>3964.4899999999907</v>
      </c>
      <c r="H34" s="82">
        <f>+'403 WS Bond'!G23</f>
        <v>1568593</v>
      </c>
      <c r="I34" s="83">
        <f>+'403 WS Bond'!G56</f>
        <v>1569393</v>
      </c>
      <c r="J34" s="79">
        <f>+'403 WS Bond'!F57</f>
        <v>3175.4899999999907</v>
      </c>
      <c r="K34" s="82">
        <f>+'403 WS Bond'!H23</f>
        <v>1595000</v>
      </c>
      <c r="L34" s="83">
        <f>+'403 WS Bond'!H56</f>
        <v>1590019.3</v>
      </c>
      <c r="M34" s="286">
        <f>+'403 WS Bond'!H57</f>
        <v>8156.1899999999441</v>
      </c>
      <c r="O34" s="299"/>
      <c r="P34" s="299"/>
      <c r="Q34" s="299" t="s">
        <v>4160</v>
      </c>
      <c r="R34" s="299"/>
      <c r="S34" s="299"/>
      <c r="T34" s="299"/>
      <c r="U34" s="299"/>
      <c r="X34" s="299" t="s">
        <v>4167</v>
      </c>
    </row>
    <row r="35" spans="1:24" s="74" customFormat="1" x14ac:dyDescent="0.25">
      <c r="A35" s="77" t="s">
        <v>3501</v>
      </c>
      <c r="B35" s="78" t="str">
        <f>'404 Sewer Bond'!A8</f>
        <v>2005 Sewer Bond Reserve</v>
      </c>
      <c r="C35" s="73"/>
      <c r="D35" s="84">
        <f>+'404 Sewer Bond'!C7</f>
        <v>1149587.3700000001</v>
      </c>
      <c r="E35" s="82">
        <f>+'404 Sewer Bond'!C16</f>
        <v>881.49</v>
      </c>
      <c r="F35" s="83">
        <f>+'404 Sewer Bond'!C25</f>
        <v>0</v>
      </c>
      <c r="G35" s="79">
        <f>+'404 Sewer Bond'!C26</f>
        <v>1150468.8600000001</v>
      </c>
      <c r="H35" s="82">
        <f>+'404 Sewer Bond'!G16</f>
        <v>0</v>
      </c>
      <c r="I35" s="83">
        <f>+'404 Sewer Bond'!G25</f>
        <v>0</v>
      </c>
      <c r="J35" s="79">
        <f>+'404 Sewer Bond'!F26</f>
        <v>1153360.1800000002</v>
      </c>
      <c r="K35" s="82">
        <f>+'404 Sewer Bond'!H16</f>
        <v>0</v>
      </c>
      <c r="L35" s="83">
        <f>+'404 Sewer Bond'!H25</f>
        <v>0</v>
      </c>
      <c r="M35" s="286">
        <f>+'404 Sewer Bond'!H26</f>
        <v>1153360.1800000002</v>
      </c>
      <c r="O35" s="299"/>
      <c r="P35" s="299"/>
      <c r="Q35" s="299" t="s">
        <v>4161</v>
      </c>
      <c r="R35" s="299"/>
      <c r="S35" s="299"/>
      <c r="T35" s="299"/>
      <c r="U35" s="299"/>
      <c r="X35" s="299" t="s">
        <v>4176</v>
      </c>
    </row>
    <row r="36" spans="1:24" s="74" customFormat="1" x14ac:dyDescent="0.25">
      <c r="A36" s="77" t="s">
        <v>3500</v>
      </c>
      <c r="B36" s="78" t="str">
        <f>'405 WWTP Debt'!A8</f>
        <v>WWTP Debt Service Fund</v>
      </c>
      <c r="C36" s="73"/>
      <c r="D36" s="84">
        <f>+'405 WWTP Debt'!C7</f>
        <v>885916.34</v>
      </c>
      <c r="E36" s="82">
        <f>+'405 WWTP Debt'!C16</f>
        <v>1001816.13</v>
      </c>
      <c r="F36" s="83">
        <f>+'405 WWTP Debt'!C27</f>
        <v>0</v>
      </c>
      <c r="G36" s="79">
        <f>+'405 WWTP Debt'!C28</f>
        <v>1887732.47</v>
      </c>
      <c r="H36" s="82">
        <f>+'405 WWTP Debt'!G16</f>
        <v>3000000</v>
      </c>
      <c r="I36" s="83">
        <f>+'405 WWTP Debt'!G27</f>
        <v>0</v>
      </c>
      <c r="J36" s="79">
        <f>+'405 WWTP Debt'!F28</f>
        <v>4893185.6833333336</v>
      </c>
      <c r="K36" s="82">
        <f>+'405 WWTP Debt'!H16</f>
        <v>1000000</v>
      </c>
      <c r="L36" s="83">
        <f>+'405 WWTP Debt'!H27</f>
        <v>2117134.3199999998</v>
      </c>
      <c r="M36" s="286">
        <f>+'405 WWTP Debt'!H28</f>
        <v>3776051.3633333337</v>
      </c>
      <c r="N36" s="75" t="s">
        <v>4134</v>
      </c>
      <c r="O36" s="299"/>
      <c r="P36" s="299"/>
      <c r="Q36" s="299"/>
      <c r="R36" s="299"/>
      <c r="S36" s="299"/>
      <c r="T36" s="299"/>
      <c r="U36" s="299"/>
      <c r="X36" s="299" t="s">
        <v>4168</v>
      </c>
    </row>
    <row r="37" spans="1:24" s="74" customFormat="1" x14ac:dyDescent="0.25">
      <c r="A37" s="77" t="s">
        <v>3503</v>
      </c>
      <c r="B37" s="78" t="str">
        <f>'407 Storm Flood Control'!A8</f>
        <v xml:space="preserve">Storm &amp; Flood Control </v>
      </c>
      <c r="C37" s="73"/>
      <c r="D37" s="84">
        <f>+'407 Storm Flood Control'!C7</f>
        <v>1690428.81</v>
      </c>
      <c r="E37" s="82">
        <f>+'407 Storm Flood Control'!C84</f>
        <v>1802659.18</v>
      </c>
      <c r="F37" s="83">
        <f>+'407 Storm Flood Control'!C186</f>
        <v>1521893.61</v>
      </c>
      <c r="G37" s="79">
        <f>+'407 Storm Flood Control'!C187</f>
        <v>1971194.3800000001</v>
      </c>
      <c r="H37" s="82">
        <f>+'407 Storm Flood Control'!G84</f>
        <v>6714228</v>
      </c>
      <c r="I37" s="83">
        <f>+'407 Storm Flood Control'!G186</f>
        <v>6786736.0800000001</v>
      </c>
      <c r="J37" s="79">
        <f>+'407 Storm Flood Control'!F187</f>
        <v>3864472.6066666665</v>
      </c>
      <c r="K37" s="82">
        <f>+'407 Storm Flood Control'!H84</f>
        <v>4043052.6500000004</v>
      </c>
      <c r="L37" s="83">
        <f>+'407 Storm Flood Control'!H186</f>
        <v>6943030.1238034051</v>
      </c>
      <c r="M37" s="286">
        <f>+'407 Storm Flood Control'!H187</f>
        <v>964495.13286326174</v>
      </c>
      <c r="N37" s="75" t="s">
        <v>4134</v>
      </c>
      <c r="O37" s="299"/>
      <c r="S37" s="299"/>
      <c r="T37" s="299"/>
      <c r="U37" s="299"/>
    </row>
    <row r="38" spans="1:24" s="74" customFormat="1" x14ac:dyDescent="0.25">
      <c r="A38" s="77" t="s">
        <v>3504</v>
      </c>
      <c r="B38" s="78" t="str">
        <f>'408 Utility Loan'!A8</f>
        <v>Utility Loan Service</v>
      </c>
      <c r="C38" s="73"/>
      <c r="D38" s="84">
        <f>+'408 Utility Loan'!C7</f>
        <v>22257.37</v>
      </c>
      <c r="E38" s="82">
        <f>+'408 Utility Loan'!C28</f>
        <v>189064.54</v>
      </c>
      <c r="F38" s="83">
        <f>+'408 Utility Loan'!C45</f>
        <v>189064.53</v>
      </c>
      <c r="G38" s="79">
        <f>+'408 Utility Loan'!C46</f>
        <v>22257.380000000005</v>
      </c>
      <c r="H38" s="82">
        <f>+'408 Utility Loan'!G28</f>
        <v>158407</v>
      </c>
      <c r="I38" s="83">
        <f>+'408 Utility Loan'!G45</f>
        <v>158405</v>
      </c>
      <c r="J38" s="79">
        <f>+'408 Utility Loan'!F46</f>
        <v>22259.380000000005</v>
      </c>
      <c r="K38" s="82">
        <f>+'408 Utility Loan'!H28</f>
        <v>154000</v>
      </c>
      <c r="L38" s="83">
        <f>+'408 Utility Loan'!H45</f>
        <v>150407.00999999998</v>
      </c>
      <c r="M38" s="286">
        <f>+'408 Utility Loan'!H46</f>
        <v>25852.370000000024</v>
      </c>
      <c r="O38" s="299"/>
      <c r="S38" s="299"/>
      <c r="T38" s="299"/>
      <c r="U38" s="299"/>
    </row>
    <row r="39" spans="1:24" s="74" customFormat="1" x14ac:dyDescent="0.25">
      <c r="A39" s="77" t="s">
        <v>3505</v>
      </c>
      <c r="B39" s="78" t="str">
        <f>'409 CCWA Debt'!A8</f>
        <v>CCWA Water Conversion Debt Service</v>
      </c>
      <c r="C39" s="73"/>
      <c r="D39" s="84">
        <f>+'409 CCWA Debt'!C7</f>
        <v>44657.69</v>
      </c>
      <c r="E39" s="82">
        <f>+'409 CCWA Debt'!C13</f>
        <v>55367.41</v>
      </c>
      <c r="F39" s="83">
        <f>+'409 CCWA Debt'!C19</f>
        <v>32419.119999999999</v>
      </c>
      <c r="G39" s="79">
        <f>+'409 CCWA Debt'!C20</f>
        <v>67605.98000000001</v>
      </c>
      <c r="H39" s="82">
        <f>+'409 CCWA Debt'!G13</f>
        <v>43200</v>
      </c>
      <c r="I39" s="83">
        <f>+'409 CCWA Debt'!G19</f>
        <v>81319</v>
      </c>
      <c r="J39" s="79">
        <f>+'409 CCWA Debt'!F20</f>
        <v>32349.806666666671</v>
      </c>
      <c r="K39" s="82">
        <f>+'409 CCWA Debt'!H13</f>
        <v>45000</v>
      </c>
      <c r="L39" s="83">
        <f>+'409 CCWA Debt'!H19</f>
        <v>52374.99</v>
      </c>
      <c r="M39" s="286">
        <f>+'409 CCWA Debt'!H20</f>
        <v>24974.816666666673</v>
      </c>
      <c r="O39" s="299"/>
      <c r="P39" s="300" t="s">
        <v>4139</v>
      </c>
      <c r="Q39" s="299"/>
      <c r="R39" s="299"/>
      <c r="S39" s="299"/>
      <c r="T39" s="299"/>
      <c r="U39" s="299"/>
    </row>
    <row r="40" spans="1:24" s="74" customFormat="1" x14ac:dyDescent="0.25">
      <c r="A40" s="77" t="s">
        <v>3506</v>
      </c>
      <c r="B40" s="78" t="str">
        <f>'413 WTP Upgrade'!A8</f>
        <v>Water Treatment Plant Upgrade (WTP)</v>
      </c>
      <c r="C40" s="73"/>
      <c r="D40" s="84">
        <f>+'413 WTP Upgrade'!C7</f>
        <v>3619415.45</v>
      </c>
      <c r="E40" s="82">
        <f>+'413 WTP Upgrade'!C13</f>
        <v>0</v>
      </c>
      <c r="F40" s="83">
        <f>+'413 WTP Upgrade'!C18</f>
        <v>109440.27</v>
      </c>
      <c r="G40" s="79">
        <f>+'413 WTP Upgrade'!C19</f>
        <v>3509975.18</v>
      </c>
      <c r="H40" s="82">
        <f>+'413 WTP Upgrade'!G13</f>
        <v>636517.96</v>
      </c>
      <c r="I40" s="83">
        <f>+'413 WTP Upgrade'!G18</f>
        <v>4150000</v>
      </c>
      <c r="J40" s="79">
        <f>+'413 WTP Upgrade'!F19</f>
        <v>4109359.8333333335</v>
      </c>
      <c r="K40" s="82">
        <f>+'413 WTP Upgrade'!H13</f>
        <v>1121000</v>
      </c>
      <c r="L40" s="83">
        <f>+'413 WTP Upgrade'!H18</f>
        <v>5200000</v>
      </c>
      <c r="M40" s="286">
        <f>+'413 WTP Upgrade'!H19</f>
        <v>30359.833333333954</v>
      </c>
      <c r="N40" s="75" t="s">
        <v>4134</v>
      </c>
      <c r="O40" s="299"/>
      <c r="P40" s="299"/>
      <c r="Q40" s="299" t="s">
        <v>4147</v>
      </c>
      <c r="R40" s="299"/>
      <c r="S40" s="299"/>
      <c r="T40" s="299"/>
      <c r="U40" s="299"/>
    </row>
    <row r="41" spans="1:24" s="74" customFormat="1" x14ac:dyDescent="0.25">
      <c r="A41" s="77" t="s">
        <v>3507</v>
      </c>
      <c r="B41" s="78" t="str">
        <f>'414 Shop Well'!A8</f>
        <v xml:space="preserve">Shop Well 2 </v>
      </c>
      <c r="C41" s="73"/>
      <c r="D41" s="84">
        <f>+'414 Shop Well'!C7</f>
        <v>411517.96</v>
      </c>
      <c r="E41" s="82">
        <f>+'414 Shop Well'!C12</f>
        <v>0</v>
      </c>
      <c r="F41" s="83">
        <f>+'414 Shop Well'!C17</f>
        <v>3524.29</v>
      </c>
      <c r="G41" s="79">
        <f>+'414 Shop Well'!C18</f>
        <v>407993.67000000004</v>
      </c>
      <c r="H41" s="82">
        <f>+'414 Shop Well'!G12</f>
        <v>0</v>
      </c>
      <c r="I41" s="83">
        <f>+'414 Shop Well'!G17</f>
        <v>36517.96</v>
      </c>
      <c r="J41" s="79">
        <f>+'414 Shop Well'!F18</f>
        <v>371475.70999999996</v>
      </c>
      <c r="K41" s="82">
        <f>+'414 Shop Well'!H12</f>
        <v>0</v>
      </c>
      <c r="L41" s="83">
        <f>+'414 Shop Well'!H17</f>
        <v>371000</v>
      </c>
      <c r="M41" s="286">
        <f>+'414 Shop Well'!H18</f>
        <v>475.70999999996275</v>
      </c>
      <c r="N41" s="75"/>
      <c r="O41" s="299"/>
      <c r="P41" s="299"/>
      <c r="Q41" s="299"/>
      <c r="R41" s="299" t="s">
        <v>4164</v>
      </c>
      <c r="S41" s="299"/>
      <c r="T41" s="299"/>
      <c r="U41" s="299"/>
    </row>
    <row r="42" spans="1:24" s="74" customFormat="1" x14ac:dyDescent="0.25">
      <c r="A42" s="77" t="s">
        <v>3508</v>
      </c>
      <c r="B42" s="78" t="str">
        <f>'415 WWTP'!A8</f>
        <v>Waste Water Treatment Plant Construction (WWTP)</v>
      </c>
      <c r="C42" s="73"/>
      <c r="D42" s="84">
        <f>+'415 WWTP'!C7</f>
        <v>-1017297.35</v>
      </c>
      <c r="E42" s="82">
        <f>+'415 WWTP'!C14</f>
        <v>13139265.529999999</v>
      </c>
      <c r="F42" s="83">
        <f>+'415 WWTP'!C22</f>
        <v>10936045.67</v>
      </c>
      <c r="G42" s="79">
        <f>+'415 WWTP'!C23</f>
        <v>1185922.5099999998</v>
      </c>
      <c r="H42" s="82">
        <f>+'415 WWTP'!G14</f>
        <v>4215000</v>
      </c>
      <c r="I42" s="83">
        <f>+'415 WWTP'!G22</f>
        <v>4235000</v>
      </c>
      <c r="J42" s="79">
        <f>+'415 WWTP'!F23</f>
        <v>198120.39000000013</v>
      </c>
      <c r="K42" s="82">
        <f>+'415 WWTP'!H14</f>
        <v>0</v>
      </c>
      <c r="L42" s="83">
        <f>+'415 WWTP'!H22</f>
        <v>0</v>
      </c>
      <c r="M42" s="286">
        <f>+'415 WWTP'!H23</f>
        <v>198120.39000000013</v>
      </c>
      <c r="O42" s="299"/>
      <c r="P42" s="299"/>
      <c r="Q42" s="299"/>
      <c r="R42" s="299"/>
      <c r="S42" s="299"/>
      <c r="T42" s="299"/>
      <c r="U42" s="299"/>
    </row>
    <row r="43" spans="1:24" s="74" customFormat="1" x14ac:dyDescent="0.25">
      <c r="A43" s="77" t="s">
        <v>3509</v>
      </c>
      <c r="B43" s="78" t="str">
        <f>'510 Computer'!A8</f>
        <v>Computer Repair &amp; Replacement</v>
      </c>
      <c r="C43" s="73"/>
      <c r="D43" s="84">
        <f>+'510 Computer'!C7</f>
        <v>97166.23</v>
      </c>
      <c r="E43" s="82">
        <f>+'510 Computer'!C30</f>
        <v>273225.36</v>
      </c>
      <c r="F43" s="83">
        <f>+'510 Computer'!C48</f>
        <v>270248.07</v>
      </c>
      <c r="G43" s="79">
        <f>+'510 Computer'!C49</f>
        <v>100143.51999999996</v>
      </c>
      <c r="H43" s="82">
        <f>+'510 Computer'!G30</f>
        <v>343423.62</v>
      </c>
      <c r="I43" s="83">
        <f>+'510 Computer'!G48</f>
        <v>408500</v>
      </c>
      <c r="J43" s="79">
        <f>+'510 Computer'!F49</f>
        <v>198382.46000000002</v>
      </c>
      <c r="K43" s="82">
        <f>+'510 Computer'!H30</f>
        <v>270248.06999999995</v>
      </c>
      <c r="L43" s="83">
        <f>+'510 Computer'!H48</f>
        <v>298500</v>
      </c>
      <c r="M43" s="286">
        <f>+'510 Computer'!H49</f>
        <v>170130.52999999997</v>
      </c>
      <c r="O43" s="299"/>
      <c r="P43" s="300" t="s">
        <v>4172</v>
      </c>
      <c r="Q43" s="299"/>
      <c r="S43" s="299"/>
      <c r="T43" s="299"/>
      <c r="U43" s="299"/>
    </row>
    <row r="44" spans="1:24" s="74" customFormat="1" x14ac:dyDescent="0.25">
      <c r="A44" s="77" t="s">
        <v>3510</v>
      </c>
      <c r="B44" s="78" t="str">
        <f>'550 Equipment'!A8</f>
        <v>Equip. Maint. &amp; Replacement</v>
      </c>
      <c r="C44" s="73"/>
      <c r="D44" s="84">
        <f>+'550 Equipment'!C7</f>
        <v>265421.19</v>
      </c>
      <c r="E44" s="82">
        <f>+'550 Equipment'!C52</f>
        <v>1301843.6599999999</v>
      </c>
      <c r="F44" s="83">
        <f>+'550 Equipment'!C126</f>
        <v>1260842.58</v>
      </c>
      <c r="G44" s="79">
        <f>+'550 Equipment'!C127</f>
        <v>306422.26999999979</v>
      </c>
      <c r="H44" s="82">
        <f>+'550 Equipment'!G52</f>
        <v>1314809.46</v>
      </c>
      <c r="I44" s="83">
        <f>+'550 Equipment'!G126</f>
        <v>1460066.29</v>
      </c>
      <c r="J44" s="79">
        <f>+'550 Equipment'!F127</f>
        <v>713003.88666666672</v>
      </c>
      <c r="K44" s="82">
        <f>+'550 Equipment'!H52</f>
        <v>1119645.32</v>
      </c>
      <c r="L44" s="83">
        <f>+'550 Equipment'!H126</f>
        <v>1529697.9056055723</v>
      </c>
      <c r="M44" s="286">
        <f>+'550 Equipment'!H127</f>
        <v>302951.30106109451</v>
      </c>
      <c r="N44" s="75" t="s">
        <v>4134</v>
      </c>
      <c r="O44" s="299"/>
      <c r="P44" s="299"/>
      <c r="Q44" s="299" t="s">
        <v>4171</v>
      </c>
      <c r="S44" s="299"/>
      <c r="T44" s="299"/>
      <c r="U44" s="299"/>
    </row>
    <row r="45" spans="1:24" s="74" customFormat="1" x14ac:dyDescent="0.25">
      <c r="A45" s="77" t="s">
        <v>3511</v>
      </c>
      <c r="B45" s="78" t="str">
        <f>'650 Court Agency'!A8</f>
        <v>Court Agency</v>
      </c>
      <c r="C45" s="73"/>
      <c r="D45" s="84">
        <f>+'650 Court Agency'!C7</f>
        <v>0</v>
      </c>
      <c r="E45" s="82">
        <f>+'650 Court Agency'!C22</f>
        <v>132521.04999999999</v>
      </c>
      <c r="F45" s="83">
        <f>+'650 Court Agency'!C35</f>
        <v>132342.04999999999</v>
      </c>
      <c r="G45" s="79">
        <f>+'650 Court Agency'!C36</f>
        <v>179</v>
      </c>
      <c r="H45" s="82">
        <f>+'650 Court Agency'!G22</f>
        <v>240700</v>
      </c>
      <c r="I45" s="83">
        <f>+'650 Court Agency'!G35</f>
        <v>240700</v>
      </c>
      <c r="J45" s="79">
        <f>+'650 Court Agency'!F36</f>
        <v>9729.9466666666704</v>
      </c>
      <c r="K45" s="82">
        <f>+'650 Court Agency'!H22</f>
        <v>107700</v>
      </c>
      <c r="L45" s="83">
        <f>+'650 Court Agency'!H35</f>
        <v>110700</v>
      </c>
      <c r="M45" s="286">
        <f>+'650 Court Agency'!H36</f>
        <v>6729.9466666666704</v>
      </c>
      <c r="O45" s="299"/>
      <c r="S45" s="299"/>
      <c r="T45" s="299"/>
      <c r="U45" s="299"/>
    </row>
    <row r="46" spans="1:24" s="74" customFormat="1" x14ac:dyDescent="0.25">
      <c r="A46" s="77" t="s">
        <v>3512</v>
      </c>
      <c r="B46" s="78" t="str">
        <f>'651 Court Activity'!A8</f>
        <v>Court Activity</v>
      </c>
      <c r="C46" s="73"/>
      <c r="D46" s="84">
        <f>+'651 Court Activity'!C7</f>
        <v>11263.91</v>
      </c>
      <c r="E46" s="82">
        <f>+'651 Court Activity'!C10</f>
        <v>8953.64</v>
      </c>
      <c r="F46" s="83">
        <f>+'651 Court Activity'!C14</f>
        <v>12251.96</v>
      </c>
      <c r="G46" s="79">
        <f>+'651 Court Activity'!C15</f>
        <v>7965.59</v>
      </c>
      <c r="H46" s="82">
        <f>+'651 Court Activity'!G10</f>
        <v>50000</v>
      </c>
      <c r="I46" s="83">
        <f>+'651 Court Activity'!G14</f>
        <v>50000</v>
      </c>
      <c r="J46" s="79">
        <f>+'651 Court Activity'!F15</f>
        <v>723.60333333333256</v>
      </c>
      <c r="K46" s="82">
        <f>+'651 Court Activity'!H10</f>
        <v>5000</v>
      </c>
      <c r="L46" s="83">
        <f>+'651 Court Activity'!H14</f>
        <v>5000</v>
      </c>
      <c r="M46" s="286">
        <f>+'651 Court Activity'!H15</f>
        <v>723.60333333333256</v>
      </c>
      <c r="O46" s="299"/>
      <c r="P46" s="300" t="s">
        <v>4173</v>
      </c>
      <c r="Q46" s="299"/>
      <c r="S46" s="299"/>
      <c r="T46" s="299"/>
      <c r="U46" s="299"/>
    </row>
    <row r="47" spans="1:24" s="74" customFormat="1" x14ac:dyDescent="0.25">
      <c r="A47" s="80"/>
      <c r="B47" s="81"/>
      <c r="C47" s="80"/>
      <c r="D47" s="79"/>
      <c r="E47" s="79"/>
      <c r="F47" s="79"/>
      <c r="G47" s="79"/>
      <c r="H47" s="79"/>
      <c r="I47" s="79"/>
      <c r="J47" s="249">
        <f>SUM(J6:J46)</f>
        <v>60087734.955151513</v>
      </c>
      <c r="K47" s="249">
        <f t="shared" ref="K47:M47" si="0">SUM(K6:K46)</f>
        <v>52594729.495344132</v>
      </c>
      <c r="L47" s="249">
        <f t="shared" si="0"/>
        <v>64743840.281504966</v>
      </c>
      <c r="M47" s="249">
        <f t="shared" si="0"/>
        <v>47938624.168990679</v>
      </c>
      <c r="O47" s="299"/>
      <c r="P47" s="299"/>
      <c r="Q47" s="299" t="s">
        <v>4177</v>
      </c>
      <c r="S47" s="299"/>
      <c r="T47" s="299"/>
      <c r="U47" s="299"/>
    </row>
    <row r="48" spans="1:24" s="88" customFormat="1" x14ac:dyDescent="0.25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87"/>
      <c r="L48" s="87"/>
      <c r="M48" s="87"/>
      <c r="O48" s="298"/>
      <c r="P48" s="298"/>
      <c r="Q48" s="298"/>
      <c r="R48" s="298"/>
      <c r="S48" s="298"/>
      <c r="T48" s="298"/>
      <c r="U48" s="298"/>
    </row>
    <row r="49" spans="1:21" s="88" customFormat="1" x14ac:dyDescent="0.25">
      <c r="A49" s="89"/>
      <c r="B49" s="90"/>
      <c r="C49" s="89"/>
      <c r="D49" s="87"/>
      <c r="E49" s="87"/>
      <c r="F49" s="87"/>
      <c r="G49" s="87"/>
      <c r="H49" s="87"/>
      <c r="I49" s="87"/>
      <c r="J49" s="87"/>
      <c r="K49" s="87"/>
      <c r="L49" s="268"/>
      <c r="M49" s="268"/>
      <c r="O49" s="298"/>
      <c r="P49" s="298"/>
      <c r="Q49" s="298"/>
      <c r="R49" s="298"/>
      <c r="S49" s="298"/>
      <c r="T49" s="298"/>
      <c r="U49" s="298"/>
    </row>
    <row r="50" spans="1:21" s="88" customFormat="1" x14ac:dyDescent="0.25">
      <c r="A50" s="89"/>
      <c r="B50" s="90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O50" s="298"/>
      <c r="P50" s="298"/>
      <c r="Q50" s="298"/>
      <c r="R50" s="298"/>
      <c r="S50" s="298"/>
      <c r="T50" s="298"/>
      <c r="U50" s="298"/>
    </row>
    <row r="51" spans="1:21" s="88" customFormat="1" x14ac:dyDescent="0.25">
      <c r="A51" s="89"/>
      <c r="B51" s="90"/>
      <c r="C51" s="89"/>
      <c r="D51" s="91"/>
      <c r="E51" s="91"/>
      <c r="F51" s="91"/>
      <c r="G51" s="91"/>
      <c r="H51" s="91"/>
      <c r="I51" s="91"/>
      <c r="J51" s="91"/>
      <c r="K51" s="91"/>
      <c r="L51" s="91"/>
      <c r="M51" s="91"/>
      <c r="O51" s="298"/>
      <c r="P51" s="298"/>
      <c r="Q51" s="298"/>
      <c r="R51" s="298"/>
      <c r="S51" s="298"/>
      <c r="T51" s="298"/>
      <c r="U51" s="298"/>
    </row>
    <row r="52" spans="1:21" s="88" customFormat="1" x14ac:dyDescent="0.25">
      <c r="A52" s="89" t="s">
        <v>2</v>
      </c>
      <c r="B52" s="90" t="s">
        <v>2</v>
      </c>
      <c r="C52" s="89" t="s">
        <v>2</v>
      </c>
      <c r="D52" s="89"/>
      <c r="E52" s="89"/>
      <c r="F52" s="89"/>
      <c r="G52" s="89"/>
      <c r="H52" s="89"/>
      <c r="I52" s="89"/>
      <c r="J52" s="89"/>
      <c r="K52" s="89"/>
      <c r="L52" s="89"/>
      <c r="M52" s="89"/>
      <c r="O52" s="298"/>
      <c r="P52" s="298"/>
      <c r="Q52" s="298"/>
      <c r="R52" s="298"/>
      <c r="S52" s="298"/>
      <c r="T52" s="298"/>
      <c r="U52" s="298"/>
    </row>
    <row r="53" spans="1:21" s="92" customFormat="1" x14ac:dyDescent="0.25">
      <c r="O53" s="298"/>
      <c r="P53" s="298"/>
      <c r="Q53" s="298"/>
      <c r="R53" s="298"/>
      <c r="S53" s="298"/>
      <c r="T53" s="298"/>
      <c r="U53" s="298"/>
    </row>
  </sheetData>
  <sheetProtection algorithmName="SHA-512" hashValue="LU+8ASqqeV4LjCoroccjCVGeOlUtNyUqdLXc2twcxR+eB71R6ikFs6yqMFSY9dmSNiIh4rW5tCt7oTuycxcM2w==" saltValue="ABGyc6yhRpSwhAioHasMNA==" spinCount="100000" sheet="1" objects="1" scenarios="1"/>
  <mergeCells count="3">
    <mergeCell ref="B2:M2"/>
    <mergeCell ref="A4:C4"/>
    <mergeCell ref="P5:S5"/>
  </mergeCells>
  <pageMargins left="0.5" right="0.5" top="0.5" bottom="0.9" header="0.5" footer="0.5"/>
  <pageSetup scale="59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4C2A7-6E7C-49FD-8BCD-CB7D004FDD94}">
  <sheetPr>
    <tabColor rgb="FF92D050"/>
    <pageSetUpPr fitToPage="1"/>
  </sheetPr>
  <dimension ref="A1:O804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4" width="16.85546875" hidden="1" customWidth="1"/>
    <col min="5" max="5" width="21" hidden="1" customWidth="1"/>
    <col min="6" max="7" width="26.5703125" hidden="1" customWidth="1"/>
    <col min="8" max="10" width="16.7109375" customWidth="1"/>
    <col min="11" max="11" width="56" style="243" customWidth="1"/>
    <col min="12" max="12" width="25.7109375" hidden="1" customWidth="1"/>
    <col min="14" max="15" width="13.7109375" customWidth="1"/>
  </cols>
  <sheetData>
    <row r="1" spans="1:15" ht="26.25" customHeight="1" x14ac:dyDescent="0.25">
      <c r="L1" s="318" t="s">
        <v>4183</v>
      </c>
    </row>
    <row r="2" spans="1:15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</row>
    <row r="3" spans="1:15" ht="18" customHeight="1" x14ac:dyDescent="0.25">
      <c r="A3" s="334" t="s">
        <v>4027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</row>
    <row r="4" spans="1:15" ht="18" customHeight="1" x14ac:dyDescent="0.5">
      <c r="A4" s="8"/>
      <c r="J4" s="241">
        <f>J7-H803</f>
        <v>0</v>
      </c>
    </row>
    <row r="5" spans="1:15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4058</v>
      </c>
      <c r="G5" s="9" t="s">
        <v>4190</v>
      </c>
      <c r="H5" s="9" t="s">
        <v>3552</v>
      </c>
      <c r="I5" s="9" t="s">
        <v>2022</v>
      </c>
      <c r="J5" s="9" t="s">
        <v>2023</v>
      </c>
      <c r="K5" s="11" t="s">
        <v>2024</v>
      </c>
      <c r="N5" s="47"/>
      <c r="O5" s="47"/>
    </row>
    <row r="6" spans="1:15" ht="15" customHeight="1" x14ac:dyDescent="0.25">
      <c r="A6" s="1"/>
      <c r="B6" s="1" t="s">
        <v>2</v>
      </c>
    </row>
    <row r="7" spans="1:15" x14ac:dyDescent="0.25">
      <c r="A7" s="287" t="s">
        <v>2025</v>
      </c>
      <c r="B7" s="288" t="s">
        <v>2</v>
      </c>
      <c r="C7" s="289">
        <v>5394903.2000000002</v>
      </c>
      <c r="D7" s="289">
        <v>6294005.1399999997</v>
      </c>
      <c r="E7" s="289">
        <v>6294005.1399999997</v>
      </c>
      <c r="F7" s="289"/>
      <c r="G7" s="289">
        <v>6294005.1399999997</v>
      </c>
      <c r="H7" s="289">
        <v>6294005.1399999997</v>
      </c>
      <c r="I7" s="289">
        <v>6294005.1399999997</v>
      </c>
      <c r="J7" s="289">
        <f>H803</f>
        <v>6972649.3751515131</v>
      </c>
      <c r="K7" s="290"/>
    </row>
    <row r="8" spans="1:15" s="7" customFormat="1" x14ac:dyDescent="0.25">
      <c r="A8" s="16" t="s">
        <v>2026</v>
      </c>
      <c r="B8" s="16" t="s">
        <v>2</v>
      </c>
      <c r="C8" s="17"/>
      <c r="D8" s="17"/>
      <c r="E8" s="17"/>
      <c r="F8" s="17"/>
      <c r="G8" s="17"/>
      <c r="H8" s="17"/>
      <c r="I8" s="17"/>
      <c r="J8" s="17"/>
      <c r="K8" s="244"/>
      <c r="N8"/>
      <c r="O8"/>
    </row>
    <row r="9" spans="1:15" s="7" customFormat="1" x14ac:dyDescent="0.25">
      <c r="A9" s="16" t="s">
        <v>2027</v>
      </c>
      <c r="B9" s="16" t="s">
        <v>2</v>
      </c>
      <c r="C9" s="17"/>
      <c r="D9" s="17"/>
      <c r="E9" s="17"/>
      <c r="F9" s="17"/>
      <c r="G9" s="17"/>
      <c r="H9" s="17"/>
      <c r="I9" s="17"/>
      <c r="J9" s="17"/>
      <c r="K9" s="244"/>
      <c r="N9"/>
      <c r="O9"/>
    </row>
    <row r="10" spans="1:15" s="7" customFormat="1" x14ac:dyDescent="0.25">
      <c r="A10" s="18" t="s">
        <v>2028</v>
      </c>
      <c r="B10" s="18" t="s">
        <v>2029</v>
      </c>
      <c r="C10" s="19">
        <v>1846247.86</v>
      </c>
      <c r="D10" s="19">
        <v>1013339.57</v>
      </c>
      <c r="E10" s="19">
        <v>1082296.72</v>
      </c>
      <c r="F10" s="19">
        <v>1106904.1599999999</v>
      </c>
      <c r="G10" s="19">
        <v>1888852.27</v>
      </c>
      <c r="H10" s="19">
        <f>I10</f>
        <v>1893569.82</v>
      </c>
      <c r="I10" s="19">
        <v>1893569.82</v>
      </c>
      <c r="J10" s="19">
        <f>Income!$J$3</f>
        <v>1932235.22</v>
      </c>
      <c r="K10" s="245"/>
      <c r="L10" s="318" t="s">
        <v>4183</v>
      </c>
      <c r="M10"/>
      <c r="N10"/>
      <c r="O10"/>
    </row>
    <row r="11" spans="1:15" s="7" customFormat="1" x14ac:dyDescent="0.25">
      <c r="A11" s="18" t="s">
        <v>2030</v>
      </c>
      <c r="B11" s="18" t="s">
        <v>2031</v>
      </c>
      <c r="C11" s="19">
        <v>3389639.95</v>
      </c>
      <c r="D11" s="19">
        <v>1552900.96</v>
      </c>
      <c r="E11" s="19">
        <v>3010390.78</v>
      </c>
      <c r="F11" s="19">
        <v>3339481.28</v>
      </c>
      <c r="G11" s="19">
        <v>3733540.28</v>
      </c>
      <c r="H11" s="19">
        <f t="shared" ref="H11:H19" si="0">G11/11*12</f>
        <v>4072953.0327272722</v>
      </c>
      <c r="I11" s="19">
        <v>2800000</v>
      </c>
      <c r="J11" s="19">
        <f>Income!$O$30</f>
        <v>3357727.7818965269</v>
      </c>
      <c r="K11" s="244"/>
      <c r="L11"/>
      <c r="M11"/>
      <c r="N11"/>
      <c r="O11"/>
    </row>
    <row r="12" spans="1:15" s="7" customFormat="1" x14ac:dyDescent="0.25">
      <c r="A12" s="18" t="s">
        <v>2032</v>
      </c>
      <c r="B12" s="18" t="s">
        <v>2033</v>
      </c>
      <c r="C12" s="19">
        <v>235029.56</v>
      </c>
      <c r="D12" s="19">
        <v>106508.38</v>
      </c>
      <c r="E12" s="19">
        <v>202656.66</v>
      </c>
      <c r="F12" s="19">
        <v>227725.77</v>
      </c>
      <c r="G12" s="19">
        <v>254664.61</v>
      </c>
      <c r="H12" s="19">
        <f t="shared" si="0"/>
        <v>277815.93818181817</v>
      </c>
      <c r="I12" s="19">
        <v>201600</v>
      </c>
      <c r="J12" s="19">
        <f>Income!$O$43</f>
        <v>234205.29278760802</v>
      </c>
      <c r="K12" s="244"/>
      <c r="N12"/>
      <c r="O12"/>
    </row>
    <row r="13" spans="1:15" s="7" customFormat="1" x14ac:dyDescent="0.25">
      <c r="A13" s="18" t="s">
        <v>2034</v>
      </c>
      <c r="B13" s="18" t="s">
        <v>2035</v>
      </c>
      <c r="C13" s="19">
        <v>3746.59</v>
      </c>
      <c r="D13" s="19">
        <v>2001.99</v>
      </c>
      <c r="E13" s="19">
        <v>3771.53</v>
      </c>
      <c r="F13" s="19">
        <v>4253.53</v>
      </c>
      <c r="G13" s="19">
        <v>4760.3100000000004</v>
      </c>
      <c r="H13" s="19">
        <f t="shared" si="0"/>
        <v>5193.0654545454554</v>
      </c>
      <c r="I13" s="19">
        <v>4000</v>
      </c>
      <c r="J13" s="19">
        <v>4000</v>
      </c>
      <c r="K13" s="244"/>
      <c r="N13"/>
      <c r="O13"/>
    </row>
    <row r="14" spans="1:15" s="7" customFormat="1" x14ac:dyDescent="0.25">
      <c r="A14" s="18" t="s">
        <v>2036</v>
      </c>
      <c r="B14" s="18" t="s">
        <v>2037</v>
      </c>
      <c r="C14" s="19">
        <v>611094.72</v>
      </c>
      <c r="D14" s="19">
        <v>402745.69</v>
      </c>
      <c r="E14" s="19">
        <v>620225.63</v>
      </c>
      <c r="F14" s="19">
        <v>681574.54</v>
      </c>
      <c r="G14" s="19">
        <v>731509.13</v>
      </c>
      <c r="H14" s="19">
        <f t="shared" si="0"/>
        <v>798009.96</v>
      </c>
      <c r="I14" s="19">
        <v>570000</v>
      </c>
      <c r="J14" s="19">
        <v>620000</v>
      </c>
      <c r="K14" s="244"/>
      <c r="N14"/>
      <c r="O14"/>
    </row>
    <row r="15" spans="1:15" s="7" customFormat="1" x14ac:dyDescent="0.25">
      <c r="A15" s="18" t="s">
        <v>2038</v>
      </c>
      <c r="B15" s="18" t="s">
        <v>2039</v>
      </c>
      <c r="C15" s="19">
        <v>238609.16</v>
      </c>
      <c r="D15" s="19">
        <v>228363.91</v>
      </c>
      <c r="E15" s="19">
        <v>281674.71999999997</v>
      </c>
      <c r="F15" s="19">
        <v>291310.53999999998</v>
      </c>
      <c r="G15" s="19">
        <v>303553.57</v>
      </c>
      <c r="H15" s="19">
        <f t="shared" si="0"/>
        <v>331149.34909090912</v>
      </c>
      <c r="I15" s="19">
        <v>200000</v>
      </c>
      <c r="J15" s="19">
        <v>280000</v>
      </c>
      <c r="K15" s="244"/>
      <c r="N15"/>
      <c r="O15"/>
    </row>
    <row r="16" spans="1:15" s="7" customFormat="1" x14ac:dyDescent="0.25">
      <c r="A16" s="18" t="s">
        <v>2040</v>
      </c>
      <c r="B16" s="18" t="s">
        <v>2041</v>
      </c>
      <c r="C16" s="19">
        <v>158626.38</v>
      </c>
      <c r="D16" s="19">
        <v>73614.05</v>
      </c>
      <c r="E16" s="19">
        <v>120351.16</v>
      </c>
      <c r="F16" s="19">
        <v>132071.03</v>
      </c>
      <c r="G16" s="19">
        <v>143729.60000000001</v>
      </c>
      <c r="H16" s="19">
        <f t="shared" si="0"/>
        <v>156795.92727272728</v>
      </c>
      <c r="I16" s="19">
        <v>150000</v>
      </c>
      <c r="J16" s="19">
        <f>Income!$O$56</f>
        <v>135000</v>
      </c>
      <c r="K16" s="244"/>
      <c r="N16"/>
      <c r="O16"/>
    </row>
    <row r="17" spans="1:15" s="7" customFormat="1" x14ac:dyDescent="0.25">
      <c r="A17" s="18" t="s">
        <v>2042</v>
      </c>
      <c r="B17" s="18" t="s">
        <v>2043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  <c r="H17" s="19">
        <f t="shared" si="0"/>
        <v>0</v>
      </c>
      <c r="I17" s="19">
        <v>0</v>
      </c>
      <c r="J17" s="19">
        <v>0</v>
      </c>
      <c r="K17" s="244"/>
      <c r="N17"/>
      <c r="O17"/>
    </row>
    <row r="18" spans="1:15" s="7" customFormat="1" x14ac:dyDescent="0.25">
      <c r="A18" s="18" t="s">
        <v>2044</v>
      </c>
      <c r="B18" s="18" t="s">
        <v>2045</v>
      </c>
      <c r="C18" s="19">
        <v>1243001.56</v>
      </c>
      <c r="D18" s="19">
        <v>460296.49</v>
      </c>
      <c r="E18" s="19">
        <v>867016.12</v>
      </c>
      <c r="F18" s="19">
        <v>1049684.1599999999</v>
      </c>
      <c r="G18" s="19">
        <v>1091638.24</v>
      </c>
      <c r="H18" s="19">
        <f>G18/11*12</f>
        <v>1190878.08</v>
      </c>
      <c r="I18" s="19">
        <v>1083618.0900000001</v>
      </c>
      <c r="J18" s="19">
        <f>H18*1.092</f>
        <v>1300438.8633600001</v>
      </c>
      <c r="K18" s="244"/>
      <c r="L18" s="21"/>
      <c r="N18"/>
      <c r="O18"/>
    </row>
    <row r="19" spans="1:15" s="7" customFormat="1" x14ac:dyDescent="0.25">
      <c r="A19" s="30" t="s">
        <v>3203</v>
      </c>
      <c r="B19" s="30" t="s">
        <v>3204</v>
      </c>
      <c r="C19" s="19">
        <v>0</v>
      </c>
      <c r="D19" s="19"/>
      <c r="E19" s="19">
        <v>432.24</v>
      </c>
      <c r="F19" s="19">
        <v>432.24</v>
      </c>
      <c r="G19" s="19">
        <v>628.65</v>
      </c>
      <c r="H19" s="19">
        <f t="shared" si="0"/>
        <v>685.8</v>
      </c>
      <c r="I19" s="19">
        <v>0</v>
      </c>
      <c r="J19" s="19">
        <v>0</v>
      </c>
      <c r="K19" s="244"/>
      <c r="L19" s="21"/>
      <c r="N19"/>
      <c r="O19"/>
    </row>
    <row r="20" spans="1:15" s="7" customFormat="1" x14ac:dyDescent="0.25">
      <c r="A20" s="16" t="s">
        <v>2046</v>
      </c>
      <c r="B20" s="16" t="s">
        <v>2</v>
      </c>
      <c r="C20" s="20">
        <v>7725995.7800000003</v>
      </c>
      <c r="D20" s="20">
        <v>3839771.04</v>
      </c>
      <c r="E20" s="20">
        <f>SUM(E10:E19)</f>
        <v>6188815.5600000005</v>
      </c>
      <c r="F20" s="20">
        <f>SUM(F10:F19)</f>
        <v>6833437.25</v>
      </c>
      <c r="G20" s="20">
        <f>SUM(G10:G19)</f>
        <v>8152876.6600000001</v>
      </c>
      <c r="H20" s="20">
        <f>SUM(H10:H19)</f>
        <v>8727050.9727272745</v>
      </c>
      <c r="I20" s="20">
        <f>SUM(I10:I19)</f>
        <v>6902787.9100000001</v>
      </c>
      <c r="J20" s="20">
        <f>SUM(J10:J18)</f>
        <v>7863607.1580441343</v>
      </c>
      <c r="K20" s="244"/>
      <c r="N20"/>
      <c r="O20"/>
    </row>
    <row r="21" spans="1:15" s="7" customFormat="1" x14ac:dyDescent="0.25">
      <c r="A21" s="16" t="s">
        <v>2</v>
      </c>
      <c r="B21" s="16" t="s">
        <v>2</v>
      </c>
      <c r="C21" s="16" t="s">
        <v>2</v>
      </c>
      <c r="D21" s="16" t="s">
        <v>2</v>
      </c>
      <c r="E21" s="16"/>
      <c r="F21" s="16"/>
      <c r="G21" s="16"/>
      <c r="H21" s="16"/>
      <c r="I21" s="16" t="s">
        <v>2</v>
      </c>
      <c r="J21" s="16" t="s">
        <v>2</v>
      </c>
      <c r="K21" s="244"/>
      <c r="N21"/>
      <c r="O21"/>
    </row>
    <row r="22" spans="1:15" s="7" customFormat="1" x14ac:dyDescent="0.25">
      <c r="A22" s="16" t="s">
        <v>2048</v>
      </c>
      <c r="B22" s="16" t="s">
        <v>2</v>
      </c>
      <c r="C22" s="22"/>
      <c r="D22" s="17"/>
      <c r="E22" s="22"/>
      <c r="F22" s="22"/>
      <c r="G22" s="22"/>
      <c r="H22" s="17"/>
      <c r="I22" s="22"/>
      <c r="J22" s="22"/>
      <c r="K22" s="244"/>
      <c r="N22"/>
      <c r="O22"/>
    </row>
    <row r="23" spans="1:15" s="7" customFormat="1" ht="24" x14ac:dyDescent="0.25">
      <c r="A23" s="16" t="s">
        <v>2049</v>
      </c>
      <c r="B23" s="16" t="s">
        <v>2</v>
      </c>
      <c r="C23" s="17"/>
      <c r="D23" s="17"/>
      <c r="E23" s="17"/>
      <c r="F23" s="17"/>
      <c r="G23" s="17"/>
      <c r="H23" s="17"/>
      <c r="I23" s="17"/>
      <c r="J23" s="17"/>
      <c r="K23" s="244"/>
      <c r="N23"/>
      <c r="O23"/>
    </row>
    <row r="24" spans="1:15" s="7" customFormat="1" x14ac:dyDescent="0.25">
      <c r="A24" s="18" t="s">
        <v>2050</v>
      </c>
      <c r="B24" s="18" t="s">
        <v>2051</v>
      </c>
      <c r="C24" s="19">
        <v>167738.74</v>
      </c>
      <c r="D24" s="19">
        <v>87620.32</v>
      </c>
      <c r="E24" s="19">
        <v>131444.12</v>
      </c>
      <c r="F24" s="19">
        <v>131444.12</v>
      </c>
      <c r="G24" s="19">
        <v>175062.87</v>
      </c>
      <c r="H24" s="19">
        <f>G24/11*12</f>
        <v>190977.67636363636</v>
      </c>
      <c r="I24" s="19">
        <v>164000</v>
      </c>
      <c r="J24" s="19">
        <v>165000</v>
      </c>
      <c r="K24" s="244"/>
      <c r="N24"/>
      <c r="O24"/>
    </row>
    <row r="25" spans="1:15" s="7" customFormat="1" x14ac:dyDescent="0.25">
      <c r="A25" s="18" t="s">
        <v>2052</v>
      </c>
      <c r="B25" s="18" t="s">
        <v>2053</v>
      </c>
      <c r="C25" s="19">
        <v>166846.68</v>
      </c>
      <c r="D25" s="19">
        <v>190352.6</v>
      </c>
      <c r="E25" s="19">
        <v>190352.6</v>
      </c>
      <c r="F25" s="19">
        <v>190352.6</v>
      </c>
      <c r="G25" s="19">
        <v>190352.6</v>
      </c>
      <c r="H25" s="19">
        <f>G25</f>
        <v>190352.6</v>
      </c>
      <c r="I25" s="19">
        <v>160000</v>
      </c>
      <c r="J25" s="19">
        <v>165000</v>
      </c>
      <c r="K25" s="244"/>
      <c r="L25" t="s">
        <v>4191</v>
      </c>
      <c r="N25"/>
      <c r="O25"/>
    </row>
    <row r="26" spans="1:15" s="7" customFormat="1" x14ac:dyDescent="0.25">
      <c r="A26" s="18" t="s">
        <v>2054</v>
      </c>
      <c r="B26" s="18" t="s">
        <v>2055</v>
      </c>
      <c r="C26" s="19">
        <v>123755.03</v>
      </c>
      <c r="D26" s="19">
        <v>73426.179999999993</v>
      </c>
      <c r="E26" s="19">
        <v>113415.27</v>
      </c>
      <c r="F26" s="19">
        <v>114696.02</v>
      </c>
      <c r="G26" s="19">
        <v>133809.19</v>
      </c>
      <c r="H26" s="19">
        <f t="shared" ref="H26" si="1">G26/11*12</f>
        <v>145973.66181818183</v>
      </c>
      <c r="I26" s="19">
        <v>100000</v>
      </c>
      <c r="J26" s="19">
        <v>120000</v>
      </c>
      <c r="K26" s="244"/>
      <c r="N26"/>
      <c r="O26"/>
    </row>
    <row r="27" spans="1:15" s="7" customFormat="1" ht="24" x14ac:dyDescent="0.25">
      <c r="A27" s="16" t="s">
        <v>2056</v>
      </c>
      <c r="B27" s="16" t="s">
        <v>2</v>
      </c>
      <c r="C27" s="20">
        <v>458340.45</v>
      </c>
      <c r="D27" s="20">
        <v>351399.1</v>
      </c>
      <c r="E27" s="20">
        <f t="shared" ref="E27:J27" si="2">SUM(E24:E26)</f>
        <v>435211.99</v>
      </c>
      <c r="F27" s="20">
        <f t="shared" si="2"/>
        <v>436492.74</v>
      </c>
      <c r="G27" s="20">
        <f t="shared" si="2"/>
        <v>499224.66</v>
      </c>
      <c r="H27" s="20">
        <f t="shared" si="2"/>
        <v>527303.93818181823</v>
      </c>
      <c r="I27" s="20">
        <f t="shared" si="2"/>
        <v>424000</v>
      </c>
      <c r="J27" s="20">
        <f t="shared" si="2"/>
        <v>450000</v>
      </c>
      <c r="K27" s="244"/>
      <c r="N27"/>
      <c r="O27"/>
    </row>
    <row r="28" spans="1:15" s="7" customFormat="1" x14ac:dyDescent="0.25">
      <c r="A28" s="16" t="s">
        <v>2</v>
      </c>
      <c r="B28" s="16" t="s">
        <v>2</v>
      </c>
      <c r="C28" s="16" t="s">
        <v>2</v>
      </c>
      <c r="D28" s="16" t="s">
        <v>2</v>
      </c>
      <c r="E28" s="16"/>
      <c r="F28" s="16"/>
      <c r="G28" s="16"/>
      <c r="H28" s="16"/>
      <c r="I28" s="16" t="s">
        <v>2</v>
      </c>
      <c r="J28" s="16" t="s">
        <v>2</v>
      </c>
      <c r="K28" s="244"/>
      <c r="N28"/>
      <c r="O28"/>
    </row>
    <row r="29" spans="1:15" s="7" customFormat="1" ht="24" x14ac:dyDescent="0.25">
      <c r="A29" s="16" t="s">
        <v>2057</v>
      </c>
      <c r="B29" s="16" t="s">
        <v>2</v>
      </c>
      <c r="C29" s="17"/>
      <c r="D29" s="17"/>
      <c r="E29" s="17"/>
      <c r="F29" s="17"/>
      <c r="G29" s="17"/>
      <c r="H29" s="17"/>
      <c r="I29" s="17"/>
      <c r="J29" s="17"/>
      <c r="K29" s="244"/>
      <c r="N29"/>
      <c r="O29"/>
    </row>
    <row r="30" spans="1:15" s="7" customFormat="1" x14ac:dyDescent="0.25">
      <c r="A30" s="18" t="s">
        <v>2058</v>
      </c>
      <c r="B30" s="18" t="s">
        <v>2059</v>
      </c>
      <c r="C30" s="19">
        <v>373165.8</v>
      </c>
      <c r="D30" s="19">
        <v>108306.75</v>
      </c>
      <c r="E30" s="19">
        <v>175884.4</v>
      </c>
      <c r="F30" s="19">
        <v>178042.95</v>
      </c>
      <c r="G30" s="19">
        <v>178042.95</v>
      </c>
      <c r="H30" s="19">
        <f>G30/11*12</f>
        <v>194228.67272727273</v>
      </c>
      <c r="I30" s="19">
        <v>300000</v>
      </c>
      <c r="J30" s="19">
        <v>200000</v>
      </c>
      <c r="K30" s="244"/>
      <c r="N30"/>
      <c r="O30"/>
    </row>
    <row r="31" spans="1:15" s="7" customFormat="1" x14ac:dyDescent="0.25">
      <c r="A31" s="18" t="s">
        <v>2060</v>
      </c>
      <c r="B31" s="18" t="s">
        <v>2061</v>
      </c>
      <c r="C31" s="19">
        <v>14153.05</v>
      </c>
      <c r="D31" s="19">
        <v>4820.5</v>
      </c>
      <c r="E31" s="19">
        <v>10442.83</v>
      </c>
      <c r="F31" s="19">
        <v>11124.83</v>
      </c>
      <c r="G31" s="19">
        <v>11831.58</v>
      </c>
      <c r="H31" s="19">
        <f t="shared" ref="H31:H50" si="3">G31/11*12</f>
        <v>12907.178181818181</v>
      </c>
      <c r="I31" s="19">
        <v>7500</v>
      </c>
      <c r="J31" s="19">
        <v>7500</v>
      </c>
      <c r="K31" s="244"/>
      <c r="N31"/>
      <c r="O31"/>
    </row>
    <row r="32" spans="1:15" s="7" customFormat="1" x14ac:dyDescent="0.25">
      <c r="A32" s="18" t="s">
        <v>2062</v>
      </c>
      <c r="B32" s="18" t="s">
        <v>2063</v>
      </c>
      <c r="C32" s="19">
        <v>107103</v>
      </c>
      <c r="D32" s="19">
        <v>31137</v>
      </c>
      <c r="E32" s="19">
        <v>49351</v>
      </c>
      <c r="F32" s="19">
        <v>52126.85</v>
      </c>
      <c r="G32" s="19">
        <v>53639.85</v>
      </c>
      <c r="H32" s="19">
        <f t="shared" si="3"/>
        <v>58516.2</v>
      </c>
      <c r="I32" s="19">
        <v>50000</v>
      </c>
      <c r="J32" s="19">
        <v>50000</v>
      </c>
      <c r="K32" s="244"/>
      <c r="N32"/>
      <c r="O32"/>
    </row>
    <row r="33" spans="1:15" s="7" customFormat="1" x14ac:dyDescent="0.25">
      <c r="A33" s="18" t="s">
        <v>2064</v>
      </c>
      <c r="B33" s="18" t="s">
        <v>2065</v>
      </c>
      <c r="C33" s="19">
        <v>58838</v>
      </c>
      <c r="D33" s="19">
        <v>13694</v>
      </c>
      <c r="E33" s="19">
        <v>21814</v>
      </c>
      <c r="F33" s="19">
        <v>22468</v>
      </c>
      <c r="G33" s="19">
        <v>22774</v>
      </c>
      <c r="H33" s="19">
        <f t="shared" si="3"/>
        <v>24844.36363636364</v>
      </c>
      <c r="I33" s="19">
        <v>30000</v>
      </c>
      <c r="J33" s="19">
        <v>25000</v>
      </c>
      <c r="K33" s="244"/>
      <c r="N33"/>
      <c r="O33"/>
    </row>
    <row r="34" spans="1:15" s="7" customFormat="1" x14ac:dyDescent="0.25">
      <c r="A34" s="18" t="s">
        <v>2066</v>
      </c>
      <c r="B34" s="18" t="s">
        <v>2067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  <c r="H34" s="19">
        <f t="shared" si="3"/>
        <v>0</v>
      </c>
      <c r="I34" s="19">
        <v>0</v>
      </c>
      <c r="J34" s="19">
        <v>0</v>
      </c>
      <c r="K34" s="244"/>
      <c r="N34"/>
      <c r="O34"/>
    </row>
    <row r="35" spans="1:15" s="7" customFormat="1" x14ac:dyDescent="0.25">
      <c r="A35" s="18" t="s">
        <v>2068</v>
      </c>
      <c r="B35" s="18" t="s">
        <v>2069</v>
      </c>
      <c r="C35" s="19">
        <v>77909.3</v>
      </c>
      <c r="D35" s="19">
        <v>0</v>
      </c>
      <c r="E35" s="19">
        <v>0</v>
      </c>
      <c r="F35" s="19">
        <v>0</v>
      </c>
      <c r="G35" s="19">
        <v>0</v>
      </c>
      <c r="H35" s="19">
        <f t="shared" si="3"/>
        <v>0</v>
      </c>
      <c r="I35" s="19">
        <v>15000</v>
      </c>
      <c r="J35" s="19">
        <v>15000</v>
      </c>
      <c r="K35" s="244"/>
      <c r="N35"/>
      <c r="O35"/>
    </row>
    <row r="36" spans="1:15" s="7" customFormat="1" x14ac:dyDescent="0.25">
      <c r="A36" s="18" t="s">
        <v>2070</v>
      </c>
      <c r="B36" s="18" t="s">
        <v>2071</v>
      </c>
      <c r="C36" s="19">
        <v>3550.8</v>
      </c>
      <c r="D36" s="19">
        <v>826.6</v>
      </c>
      <c r="E36" s="19">
        <v>3515.35</v>
      </c>
      <c r="F36" s="19">
        <v>3877.85</v>
      </c>
      <c r="G36" s="19">
        <v>3877.85</v>
      </c>
      <c r="H36" s="19">
        <f t="shared" si="3"/>
        <v>4230.3818181818178</v>
      </c>
      <c r="I36" s="19">
        <v>1500</v>
      </c>
      <c r="J36" s="19">
        <v>1500</v>
      </c>
      <c r="K36" s="244"/>
      <c r="N36"/>
      <c r="O36"/>
    </row>
    <row r="37" spans="1:15" s="7" customFormat="1" x14ac:dyDescent="0.25">
      <c r="A37" s="18" t="s">
        <v>2072</v>
      </c>
      <c r="B37" s="18" t="s">
        <v>2073</v>
      </c>
      <c r="C37" s="19">
        <v>4182.75</v>
      </c>
      <c r="D37" s="19">
        <v>1427.5</v>
      </c>
      <c r="E37" s="19">
        <v>1427.5</v>
      </c>
      <c r="F37" s="19">
        <v>1427.5</v>
      </c>
      <c r="G37" s="19">
        <v>1427.5</v>
      </c>
      <c r="H37" s="19">
        <f t="shared" si="3"/>
        <v>1557.2727272727275</v>
      </c>
      <c r="I37" s="19">
        <v>2500</v>
      </c>
      <c r="J37" s="19">
        <v>2000</v>
      </c>
      <c r="K37" s="244"/>
      <c r="N37"/>
      <c r="O37"/>
    </row>
    <row r="38" spans="1:15" s="7" customFormat="1" x14ac:dyDescent="0.25">
      <c r="A38" s="18" t="s">
        <v>2074</v>
      </c>
      <c r="B38" s="18" t="s">
        <v>2075</v>
      </c>
      <c r="C38" s="19">
        <v>331762.09999999998</v>
      </c>
      <c r="D38" s="19">
        <v>108637.55</v>
      </c>
      <c r="E38" s="19">
        <v>128360.05</v>
      </c>
      <c r="F38" s="19">
        <v>128360.05</v>
      </c>
      <c r="G38" s="19">
        <v>129633.8</v>
      </c>
      <c r="H38" s="19">
        <f t="shared" si="3"/>
        <v>141418.69090909092</v>
      </c>
      <c r="I38" s="19">
        <v>100000</v>
      </c>
      <c r="J38" s="19">
        <v>100000</v>
      </c>
      <c r="K38" s="244"/>
      <c r="N38"/>
      <c r="O38"/>
    </row>
    <row r="39" spans="1:15" s="7" customFormat="1" x14ac:dyDescent="0.25">
      <c r="A39" s="18" t="s">
        <v>2076</v>
      </c>
      <c r="B39" s="18" t="s">
        <v>2077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  <c r="H39" s="19">
        <f t="shared" si="3"/>
        <v>0</v>
      </c>
      <c r="I39" s="19">
        <v>0</v>
      </c>
      <c r="J39" s="19">
        <v>0</v>
      </c>
      <c r="K39" s="244"/>
      <c r="N39"/>
      <c r="O39"/>
    </row>
    <row r="40" spans="1:15" s="7" customFormat="1" x14ac:dyDescent="0.25">
      <c r="A40" s="18" t="s">
        <v>2078</v>
      </c>
      <c r="B40" s="18" t="s">
        <v>2079</v>
      </c>
      <c r="C40" s="19">
        <v>9346.2999999999993</v>
      </c>
      <c r="D40" s="19">
        <v>3437.9</v>
      </c>
      <c r="E40" s="19">
        <v>3437.9</v>
      </c>
      <c r="F40" s="19">
        <v>3849.35</v>
      </c>
      <c r="G40" s="19">
        <v>3849.35</v>
      </c>
      <c r="H40" s="19">
        <f t="shared" si="3"/>
        <v>4199.2909090909088</v>
      </c>
      <c r="I40" s="19">
        <v>2000</v>
      </c>
      <c r="J40" s="19">
        <v>2000</v>
      </c>
      <c r="K40" s="244"/>
      <c r="N40"/>
      <c r="O40"/>
    </row>
    <row r="41" spans="1:15" s="7" customFormat="1" x14ac:dyDescent="0.25">
      <c r="A41" s="18" t="s">
        <v>2080</v>
      </c>
      <c r="B41" s="30" t="s">
        <v>4028</v>
      </c>
      <c r="C41" s="19">
        <v>400</v>
      </c>
      <c r="D41" s="19">
        <v>0</v>
      </c>
      <c r="E41" s="19">
        <v>0</v>
      </c>
      <c r="F41" s="19">
        <v>0</v>
      </c>
      <c r="G41" s="19">
        <v>0</v>
      </c>
      <c r="H41" s="19">
        <f t="shared" si="3"/>
        <v>0</v>
      </c>
      <c r="I41" s="19">
        <v>0</v>
      </c>
      <c r="J41" s="19">
        <v>0</v>
      </c>
      <c r="K41" s="244"/>
      <c r="N41"/>
      <c r="O41"/>
    </row>
    <row r="42" spans="1:15" s="7" customFormat="1" x14ac:dyDescent="0.25">
      <c r="A42" s="18" t="s">
        <v>2082</v>
      </c>
      <c r="B42" s="18" t="s">
        <v>2083</v>
      </c>
      <c r="C42" s="19">
        <v>2861.93</v>
      </c>
      <c r="D42" s="19">
        <v>4332.3100000000004</v>
      </c>
      <c r="E42" s="19">
        <v>6910.29</v>
      </c>
      <c r="F42" s="19">
        <v>7964.37</v>
      </c>
      <c r="G42" s="19">
        <v>7964.37</v>
      </c>
      <c r="H42" s="19">
        <f t="shared" si="3"/>
        <v>8688.4036363636369</v>
      </c>
      <c r="I42" s="19">
        <v>5000</v>
      </c>
      <c r="J42" s="19">
        <v>5000</v>
      </c>
      <c r="K42" s="244"/>
      <c r="N42"/>
      <c r="O42"/>
    </row>
    <row r="43" spans="1:15" s="7" customFormat="1" x14ac:dyDescent="0.25">
      <c r="A43" s="18" t="s">
        <v>2084</v>
      </c>
      <c r="B43" s="18" t="s">
        <v>2085</v>
      </c>
      <c r="C43" s="19">
        <v>682.15</v>
      </c>
      <c r="D43" s="19">
        <v>783.75</v>
      </c>
      <c r="E43" s="19">
        <v>783.75</v>
      </c>
      <c r="F43" s="19">
        <v>783.75</v>
      </c>
      <c r="G43" s="19">
        <v>783.75</v>
      </c>
      <c r="H43" s="19">
        <f t="shared" si="3"/>
        <v>855</v>
      </c>
      <c r="I43" s="19">
        <v>0</v>
      </c>
      <c r="J43" s="19">
        <v>0</v>
      </c>
      <c r="K43" s="244"/>
      <c r="N43"/>
      <c r="O43"/>
    </row>
    <row r="44" spans="1:15" s="7" customFormat="1" x14ac:dyDescent="0.25">
      <c r="A44" s="18" t="s">
        <v>2086</v>
      </c>
      <c r="B44" s="18" t="s">
        <v>2087</v>
      </c>
      <c r="C44" s="19">
        <v>1285</v>
      </c>
      <c r="D44" s="19">
        <v>83.25</v>
      </c>
      <c r="E44" s="19">
        <v>83.25</v>
      </c>
      <c r="F44" s="19">
        <v>183.25</v>
      </c>
      <c r="G44" s="19">
        <v>183.25</v>
      </c>
      <c r="H44" s="19">
        <f t="shared" si="3"/>
        <v>199.90909090909093</v>
      </c>
      <c r="I44" s="19">
        <v>0</v>
      </c>
      <c r="J44" s="19">
        <v>0</v>
      </c>
      <c r="K44" s="244"/>
      <c r="N44"/>
      <c r="O44"/>
    </row>
    <row r="45" spans="1:15" s="7" customFormat="1" x14ac:dyDescent="0.25">
      <c r="A45" s="18" t="s">
        <v>2088</v>
      </c>
      <c r="B45" s="18" t="s">
        <v>2089</v>
      </c>
      <c r="C45" s="19">
        <v>17096.5</v>
      </c>
      <c r="D45" s="19">
        <v>16128.6</v>
      </c>
      <c r="E45" s="19">
        <v>28436.55</v>
      </c>
      <c r="F45" s="19">
        <v>29904.55</v>
      </c>
      <c r="G45" s="19">
        <v>30971.1</v>
      </c>
      <c r="H45" s="19">
        <f t="shared" si="3"/>
        <v>33786.654545454541</v>
      </c>
      <c r="I45" s="19">
        <v>10000</v>
      </c>
      <c r="J45" s="19">
        <v>15000</v>
      </c>
      <c r="K45" s="244"/>
      <c r="N45"/>
      <c r="O45"/>
    </row>
    <row r="46" spans="1:15" s="7" customFormat="1" x14ac:dyDescent="0.25">
      <c r="A46" s="18" t="s">
        <v>2090</v>
      </c>
      <c r="B46" s="18" t="s">
        <v>2091</v>
      </c>
      <c r="C46" s="19">
        <v>2700</v>
      </c>
      <c r="D46" s="19">
        <v>2527.94</v>
      </c>
      <c r="E46" s="19">
        <v>2827.94</v>
      </c>
      <c r="F46" s="19">
        <v>2927.94</v>
      </c>
      <c r="G46" s="19">
        <v>3127.94</v>
      </c>
      <c r="H46" s="19">
        <f t="shared" si="3"/>
        <v>3412.298181818182</v>
      </c>
      <c r="I46" s="19">
        <v>2000</v>
      </c>
      <c r="J46" s="19">
        <v>2000</v>
      </c>
      <c r="K46" s="244"/>
      <c r="N46"/>
      <c r="O46"/>
    </row>
    <row r="47" spans="1:15" s="7" customFormat="1" x14ac:dyDescent="0.25">
      <c r="A47" s="18" t="s">
        <v>2092</v>
      </c>
      <c r="B47" s="18" t="s">
        <v>2093</v>
      </c>
      <c r="C47" s="19">
        <v>390.5</v>
      </c>
      <c r="D47" s="19">
        <v>1930.75</v>
      </c>
      <c r="E47" s="19">
        <v>1930.75</v>
      </c>
      <c r="F47" s="19">
        <v>1930.75</v>
      </c>
      <c r="G47" s="19">
        <v>2084</v>
      </c>
      <c r="H47" s="19">
        <f t="shared" si="3"/>
        <v>2273.4545454545455</v>
      </c>
      <c r="I47" s="19">
        <v>0</v>
      </c>
      <c r="J47" s="19">
        <v>0</v>
      </c>
      <c r="K47" s="244"/>
      <c r="N47"/>
      <c r="O47"/>
    </row>
    <row r="48" spans="1:15" s="7" customFormat="1" x14ac:dyDescent="0.25">
      <c r="A48" s="18" t="s">
        <v>2094</v>
      </c>
      <c r="B48" s="18" t="s">
        <v>2095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  <c r="H48" s="19">
        <f t="shared" si="3"/>
        <v>0</v>
      </c>
      <c r="I48" s="19">
        <v>0</v>
      </c>
      <c r="J48" s="19">
        <v>0</v>
      </c>
      <c r="K48" s="244"/>
      <c r="N48"/>
      <c r="O48"/>
    </row>
    <row r="49" spans="1:15" s="7" customFormat="1" x14ac:dyDescent="0.25">
      <c r="A49" s="18" t="s">
        <v>2096</v>
      </c>
      <c r="B49" s="18" t="s">
        <v>2097</v>
      </c>
      <c r="C49" s="19">
        <v>3790</v>
      </c>
      <c r="D49" s="19">
        <v>1874</v>
      </c>
      <c r="E49" s="19">
        <v>3206</v>
      </c>
      <c r="F49" s="19">
        <v>3404</v>
      </c>
      <c r="G49" s="19">
        <v>3691</v>
      </c>
      <c r="H49" s="19">
        <f t="shared" si="3"/>
        <v>4026.545454545455</v>
      </c>
      <c r="I49" s="19">
        <v>2000</v>
      </c>
      <c r="J49" s="19">
        <v>2000</v>
      </c>
      <c r="K49" s="244"/>
      <c r="N49"/>
      <c r="O49"/>
    </row>
    <row r="50" spans="1:15" s="7" customFormat="1" x14ac:dyDescent="0.25">
      <c r="A50" s="18" t="s">
        <v>2098</v>
      </c>
      <c r="B50" s="18" t="s">
        <v>2099</v>
      </c>
      <c r="C50" s="19">
        <v>6685</v>
      </c>
      <c r="D50" s="19">
        <v>0</v>
      </c>
      <c r="E50" s="19">
        <v>0</v>
      </c>
      <c r="F50" s="19">
        <v>0</v>
      </c>
      <c r="G50" s="19">
        <v>339</v>
      </c>
      <c r="H50" s="19">
        <f t="shared" si="3"/>
        <v>369.81818181818181</v>
      </c>
      <c r="I50" s="19">
        <v>0</v>
      </c>
      <c r="J50" s="19">
        <v>0</v>
      </c>
      <c r="K50" s="244"/>
      <c r="N50"/>
      <c r="O50"/>
    </row>
    <row r="51" spans="1:15" s="7" customFormat="1" ht="24" x14ac:dyDescent="0.25">
      <c r="A51" s="16" t="s">
        <v>2100</v>
      </c>
      <c r="B51" s="16" t="s">
        <v>2</v>
      </c>
      <c r="C51" s="20">
        <v>1015902.18</v>
      </c>
      <c r="D51" s="20">
        <v>299948.40000000002</v>
      </c>
      <c r="E51" s="20">
        <f t="shared" ref="E51:J51" si="4">SUM(E30:E50)</f>
        <v>438411.55999999994</v>
      </c>
      <c r="F51" s="20">
        <f t="shared" si="4"/>
        <v>448375.98999999993</v>
      </c>
      <c r="G51" s="20">
        <f t="shared" si="4"/>
        <v>454221.28999999992</v>
      </c>
      <c r="H51" s="20">
        <f t="shared" si="4"/>
        <v>495514.13454545452</v>
      </c>
      <c r="I51" s="20">
        <f t="shared" si="4"/>
        <v>527500</v>
      </c>
      <c r="J51" s="20">
        <f t="shared" si="4"/>
        <v>427000</v>
      </c>
      <c r="K51" s="244"/>
      <c r="N51"/>
      <c r="O51"/>
    </row>
    <row r="52" spans="1:15" s="7" customFormat="1" x14ac:dyDescent="0.25">
      <c r="A52" s="16" t="s">
        <v>2</v>
      </c>
      <c r="B52" s="16" t="s">
        <v>2</v>
      </c>
      <c r="C52" s="16" t="s">
        <v>2</v>
      </c>
      <c r="D52" s="16" t="s">
        <v>2</v>
      </c>
      <c r="E52" s="16"/>
      <c r="F52" s="16"/>
      <c r="G52" s="16"/>
      <c r="H52" s="16"/>
      <c r="I52" s="16" t="s">
        <v>2</v>
      </c>
      <c r="J52" s="16" t="s">
        <v>2</v>
      </c>
      <c r="K52" s="244"/>
      <c r="N52"/>
      <c r="O52"/>
    </row>
    <row r="53" spans="1:15" s="7" customFormat="1" x14ac:dyDescent="0.25">
      <c r="A53" s="16" t="s">
        <v>2101</v>
      </c>
      <c r="B53" s="16" t="s">
        <v>2</v>
      </c>
      <c r="C53" s="20">
        <v>1474242.63</v>
      </c>
      <c r="D53" s="20">
        <v>651347.5</v>
      </c>
      <c r="E53" s="20">
        <f>E51+E27</f>
        <v>873623.54999999993</v>
      </c>
      <c r="F53" s="20">
        <f>F51+F27</f>
        <v>884868.73</v>
      </c>
      <c r="G53" s="20">
        <f>G51+G27</f>
        <v>953445.95</v>
      </c>
      <c r="H53" s="20">
        <f>H51+H27</f>
        <v>1022818.0727272728</v>
      </c>
      <c r="I53" s="20">
        <f>I27+I51</f>
        <v>951500</v>
      </c>
      <c r="J53" s="20">
        <f>J27+J51</f>
        <v>877000</v>
      </c>
      <c r="K53" s="244"/>
      <c r="N53"/>
      <c r="O53"/>
    </row>
    <row r="54" spans="1:15" s="7" customFormat="1" x14ac:dyDescent="0.25">
      <c r="A54" s="16" t="s">
        <v>2</v>
      </c>
      <c r="B54" s="16" t="s">
        <v>2</v>
      </c>
      <c r="C54" s="16" t="s">
        <v>2</v>
      </c>
      <c r="D54" s="16" t="s">
        <v>2</v>
      </c>
      <c r="E54" s="16"/>
      <c r="F54" s="16"/>
      <c r="G54" s="16"/>
      <c r="H54" s="16"/>
      <c r="I54" s="16" t="s">
        <v>2</v>
      </c>
      <c r="J54" s="16" t="s">
        <v>2</v>
      </c>
      <c r="K54" s="244"/>
      <c r="N54"/>
      <c r="O54"/>
    </row>
    <row r="55" spans="1:15" s="7" customFormat="1" x14ac:dyDescent="0.25">
      <c r="A55" s="16" t="s">
        <v>2102</v>
      </c>
      <c r="B55" s="16" t="s">
        <v>2</v>
      </c>
      <c r="C55" s="17"/>
      <c r="D55" s="17"/>
      <c r="E55" s="17"/>
      <c r="F55" s="17"/>
      <c r="G55" s="17"/>
      <c r="H55" s="17"/>
      <c r="I55" s="17"/>
      <c r="J55" s="17"/>
      <c r="K55" s="244"/>
      <c r="N55"/>
      <c r="O55"/>
    </row>
    <row r="56" spans="1:15" s="7" customFormat="1" x14ac:dyDescent="0.25">
      <c r="A56" s="16" t="s">
        <v>2103</v>
      </c>
      <c r="B56" s="16" t="s">
        <v>2</v>
      </c>
      <c r="C56" s="17"/>
      <c r="D56" s="17"/>
      <c r="E56" s="17"/>
      <c r="F56" s="17"/>
      <c r="G56" s="17"/>
      <c r="H56" s="17"/>
      <c r="I56" s="17"/>
      <c r="J56" s="17"/>
      <c r="K56" s="244"/>
      <c r="N56"/>
      <c r="O56"/>
    </row>
    <row r="57" spans="1:15" s="7" customFormat="1" x14ac:dyDescent="0.25">
      <c r="A57" s="18" t="s">
        <v>2104</v>
      </c>
      <c r="B57" s="18" t="s">
        <v>2105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  <c r="H57" s="19">
        <f>G57/11*12</f>
        <v>0</v>
      </c>
      <c r="I57" s="19">
        <v>0</v>
      </c>
      <c r="J57" s="19">
        <v>0</v>
      </c>
      <c r="K57" s="244"/>
      <c r="N57"/>
      <c r="O57"/>
    </row>
    <row r="58" spans="1:15" s="7" customFormat="1" x14ac:dyDescent="0.25">
      <c r="A58" s="18" t="s">
        <v>2106</v>
      </c>
      <c r="B58" s="18" t="s">
        <v>2107</v>
      </c>
      <c r="C58" s="19">
        <v>4097.3100000000004</v>
      </c>
      <c r="D58" s="19">
        <v>0</v>
      </c>
      <c r="E58" s="19">
        <v>0</v>
      </c>
      <c r="F58" s="19">
        <v>0</v>
      </c>
      <c r="G58" s="19">
        <v>0</v>
      </c>
      <c r="H58" s="19">
        <f>G58/11*12</f>
        <v>0</v>
      </c>
      <c r="I58" s="19">
        <v>2250</v>
      </c>
      <c r="J58" s="19">
        <v>0</v>
      </c>
      <c r="K58" s="244"/>
      <c r="N58"/>
      <c r="O58"/>
    </row>
    <row r="59" spans="1:15" s="7" customFormat="1" x14ac:dyDescent="0.25">
      <c r="A59" s="16" t="s">
        <v>2108</v>
      </c>
      <c r="B59" s="16" t="s">
        <v>2</v>
      </c>
      <c r="C59" s="20">
        <v>4097.3100000000004</v>
      </c>
      <c r="D59" s="20">
        <v>0</v>
      </c>
      <c r="E59" s="20">
        <f t="shared" ref="E59:J59" si="5">SUM(E57:E58)</f>
        <v>0</v>
      </c>
      <c r="F59" s="20">
        <f t="shared" si="5"/>
        <v>0</v>
      </c>
      <c r="G59" s="20">
        <f t="shared" si="5"/>
        <v>0</v>
      </c>
      <c r="H59" s="20">
        <f t="shared" si="5"/>
        <v>0</v>
      </c>
      <c r="I59" s="20">
        <f t="shared" si="5"/>
        <v>2250</v>
      </c>
      <c r="J59" s="20">
        <f t="shared" si="5"/>
        <v>0</v>
      </c>
      <c r="K59" s="244"/>
      <c r="N59"/>
      <c r="O59"/>
    </row>
    <row r="60" spans="1:15" s="7" customFormat="1" x14ac:dyDescent="0.25">
      <c r="A60" s="16" t="s">
        <v>2</v>
      </c>
      <c r="B60" s="16" t="s">
        <v>2</v>
      </c>
      <c r="C60" s="16" t="s">
        <v>2</v>
      </c>
      <c r="D60" s="16" t="s">
        <v>2</v>
      </c>
      <c r="E60" s="16"/>
      <c r="F60" s="16"/>
      <c r="G60" s="16"/>
      <c r="H60" s="16"/>
      <c r="I60" s="16" t="s">
        <v>2</v>
      </c>
      <c r="J60" s="16" t="s">
        <v>2</v>
      </c>
      <c r="K60" s="244"/>
      <c r="N60"/>
      <c r="O60"/>
    </row>
    <row r="61" spans="1:15" s="7" customFormat="1" x14ac:dyDescent="0.25">
      <c r="A61" s="18" t="s">
        <v>2109</v>
      </c>
      <c r="B61" s="18" t="s">
        <v>2110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  <c r="H61" s="19">
        <f>G61/11*12</f>
        <v>0</v>
      </c>
      <c r="I61" s="19">
        <v>0</v>
      </c>
      <c r="J61" s="19">
        <v>0</v>
      </c>
      <c r="K61" s="244"/>
      <c r="N61"/>
      <c r="O61"/>
    </row>
    <row r="62" spans="1:15" s="7" customFormat="1" x14ac:dyDescent="0.25">
      <c r="A62" s="16" t="s">
        <v>2111</v>
      </c>
      <c r="B62" s="16" t="s">
        <v>2</v>
      </c>
      <c r="C62" s="17"/>
      <c r="D62" s="17"/>
      <c r="E62" s="17"/>
      <c r="F62" s="17"/>
      <c r="G62" s="17"/>
      <c r="H62" s="17"/>
      <c r="I62" s="17"/>
      <c r="J62" s="17"/>
      <c r="K62" s="244"/>
      <c r="N62"/>
      <c r="O62"/>
    </row>
    <row r="63" spans="1:15" s="7" customFormat="1" x14ac:dyDescent="0.25">
      <c r="A63" s="18" t="s">
        <v>2112</v>
      </c>
      <c r="B63" s="18" t="s">
        <v>2113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  <c r="H63" s="19">
        <f>G63</f>
        <v>0</v>
      </c>
      <c r="I63" s="19">
        <v>0</v>
      </c>
      <c r="J63" s="19">
        <v>0</v>
      </c>
      <c r="K63" s="244"/>
      <c r="N63"/>
      <c r="O63"/>
    </row>
    <row r="64" spans="1:15" s="7" customFormat="1" x14ac:dyDescent="0.25">
      <c r="A64" s="18" t="s">
        <v>2114</v>
      </c>
      <c r="B64" s="18" t="s">
        <v>2115</v>
      </c>
      <c r="C64" s="19">
        <v>9981.9599999999991</v>
      </c>
      <c r="D64" s="19">
        <v>4159.1499999999996</v>
      </c>
      <c r="E64" s="19">
        <v>6654.64</v>
      </c>
      <c r="F64" s="19">
        <v>6654.64</v>
      </c>
      <c r="G64" s="19">
        <v>7486.47</v>
      </c>
      <c r="H64" s="19">
        <f t="shared" ref="H64:H69" si="6">G64</f>
        <v>7486.47</v>
      </c>
      <c r="I64" s="19">
        <v>9981.9599999999991</v>
      </c>
      <c r="J64" s="19">
        <v>0</v>
      </c>
      <c r="K64" s="244"/>
      <c r="N64"/>
      <c r="O64"/>
    </row>
    <row r="65" spans="1:15" s="7" customFormat="1" x14ac:dyDescent="0.25">
      <c r="A65" s="18" t="s">
        <v>2116</v>
      </c>
      <c r="B65" s="18" t="s">
        <v>2117</v>
      </c>
      <c r="C65" s="19">
        <v>5717.38</v>
      </c>
      <c r="D65" s="19">
        <v>0</v>
      </c>
      <c r="E65" s="19">
        <v>0</v>
      </c>
      <c r="F65" s="19">
        <v>0</v>
      </c>
      <c r="G65" s="19">
        <v>0</v>
      </c>
      <c r="H65" s="19">
        <f t="shared" si="6"/>
        <v>0</v>
      </c>
      <c r="I65" s="19">
        <v>0</v>
      </c>
      <c r="J65" s="19">
        <v>0</v>
      </c>
      <c r="K65" s="244"/>
      <c r="N65"/>
      <c r="O65"/>
    </row>
    <row r="66" spans="1:15" s="7" customFormat="1" x14ac:dyDescent="0.25">
      <c r="A66" s="18" t="s">
        <v>2118</v>
      </c>
      <c r="B66" s="18" t="s">
        <v>2119</v>
      </c>
      <c r="C66" s="19">
        <v>1251.2</v>
      </c>
      <c r="D66" s="19">
        <v>0</v>
      </c>
      <c r="E66" s="19">
        <v>0</v>
      </c>
      <c r="F66" s="19">
        <v>0</v>
      </c>
      <c r="G66" s="19">
        <v>0</v>
      </c>
      <c r="H66" s="19">
        <f t="shared" si="6"/>
        <v>0</v>
      </c>
      <c r="I66" s="19">
        <v>0</v>
      </c>
      <c r="J66" s="19">
        <v>0</v>
      </c>
      <c r="K66" s="244"/>
      <c r="N66"/>
      <c r="O66"/>
    </row>
    <row r="67" spans="1:15" s="7" customFormat="1" x14ac:dyDescent="0.25">
      <c r="A67" s="18" t="s">
        <v>2120</v>
      </c>
      <c r="B67" s="18" t="s">
        <v>2121</v>
      </c>
      <c r="C67" s="19">
        <v>23088.44</v>
      </c>
      <c r="D67" s="19">
        <v>0</v>
      </c>
      <c r="E67" s="19">
        <v>0</v>
      </c>
      <c r="F67" s="19">
        <v>0</v>
      </c>
      <c r="G67" s="19">
        <v>0</v>
      </c>
      <c r="H67" s="19">
        <f t="shared" si="6"/>
        <v>0</v>
      </c>
      <c r="I67" s="19">
        <v>0</v>
      </c>
      <c r="J67" s="19">
        <v>0</v>
      </c>
      <c r="K67" s="244"/>
      <c r="N67"/>
      <c r="O67"/>
    </row>
    <row r="68" spans="1:15" s="7" customFormat="1" x14ac:dyDescent="0.25">
      <c r="A68" s="18" t="s">
        <v>2122</v>
      </c>
      <c r="B68" s="18" t="s">
        <v>2123</v>
      </c>
      <c r="C68" s="19">
        <v>11174.7</v>
      </c>
      <c r="D68" s="19">
        <v>10228.01</v>
      </c>
      <c r="E68" s="19">
        <v>10228.01</v>
      </c>
      <c r="F68" s="19">
        <v>10228.01</v>
      </c>
      <c r="G68" s="19">
        <v>10228.01</v>
      </c>
      <c r="H68" s="19">
        <f t="shared" si="6"/>
        <v>10228.01</v>
      </c>
      <c r="I68" s="19">
        <v>0</v>
      </c>
      <c r="J68" s="19">
        <v>0</v>
      </c>
      <c r="K68" s="244"/>
      <c r="N68"/>
      <c r="O68"/>
    </row>
    <row r="69" spans="1:15" s="7" customFormat="1" x14ac:dyDescent="0.25">
      <c r="A69" s="18" t="s">
        <v>2124</v>
      </c>
      <c r="B69" s="18" t="s">
        <v>2125</v>
      </c>
      <c r="C69" s="19">
        <v>3255.57</v>
      </c>
      <c r="D69" s="19">
        <v>26105.040000000001</v>
      </c>
      <c r="E69" s="19">
        <v>26105.040000000001</v>
      </c>
      <c r="F69" s="19">
        <v>26105.040000000001</v>
      </c>
      <c r="G69" s="19">
        <v>26105.040000000001</v>
      </c>
      <c r="H69" s="19">
        <f t="shared" si="6"/>
        <v>26105.040000000001</v>
      </c>
      <c r="I69" s="19">
        <v>25000</v>
      </c>
      <c r="J69" s="19">
        <v>30000</v>
      </c>
      <c r="K69" s="244"/>
      <c r="N69"/>
      <c r="O69"/>
    </row>
    <row r="70" spans="1:15" s="7" customFormat="1" x14ac:dyDescent="0.25">
      <c r="A70" s="16" t="s">
        <v>2126</v>
      </c>
      <c r="B70" s="16" t="s">
        <v>2</v>
      </c>
      <c r="C70" s="20">
        <v>54469.25</v>
      </c>
      <c r="D70" s="20">
        <v>40492.199999999997</v>
      </c>
      <c r="E70" s="20">
        <f t="shared" ref="E70:J70" si="7">SUM(E63:E69)</f>
        <v>42987.69</v>
      </c>
      <c r="F70" s="20">
        <f t="shared" si="7"/>
        <v>42987.69</v>
      </c>
      <c r="G70" s="20">
        <f t="shared" si="7"/>
        <v>43819.520000000004</v>
      </c>
      <c r="H70" s="20">
        <f t="shared" si="7"/>
        <v>43819.520000000004</v>
      </c>
      <c r="I70" s="20">
        <f t="shared" si="7"/>
        <v>34981.96</v>
      </c>
      <c r="J70" s="20">
        <f t="shared" si="7"/>
        <v>30000</v>
      </c>
      <c r="K70" s="244"/>
      <c r="N70"/>
      <c r="O70"/>
    </row>
    <row r="71" spans="1:15" s="7" customFormat="1" x14ac:dyDescent="0.25">
      <c r="A71" s="16" t="s">
        <v>2</v>
      </c>
      <c r="B71" s="16" t="s">
        <v>2</v>
      </c>
      <c r="C71" s="16" t="s">
        <v>2</v>
      </c>
      <c r="D71" s="16" t="s">
        <v>2</v>
      </c>
      <c r="E71" s="16"/>
      <c r="F71" s="16"/>
      <c r="G71" s="16"/>
      <c r="H71" s="16"/>
      <c r="I71" s="16" t="s">
        <v>2</v>
      </c>
      <c r="J71" s="16" t="s">
        <v>2</v>
      </c>
      <c r="K71" s="244"/>
      <c r="N71"/>
      <c r="O71"/>
    </row>
    <row r="72" spans="1:15" s="7" customFormat="1" x14ac:dyDescent="0.25">
      <c r="A72" s="16" t="s">
        <v>2127</v>
      </c>
      <c r="B72" s="16" t="s">
        <v>2</v>
      </c>
      <c r="C72" s="17"/>
      <c r="D72" s="17"/>
      <c r="E72" s="17"/>
      <c r="F72" s="17"/>
      <c r="G72" s="17"/>
      <c r="H72" s="17"/>
      <c r="I72" s="17"/>
      <c r="J72" s="17"/>
      <c r="K72" s="244"/>
      <c r="N72"/>
      <c r="O72"/>
    </row>
    <row r="73" spans="1:15" s="7" customFormat="1" x14ac:dyDescent="0.25">
      <c r="A73" s="18" t="s">
        <v>2128</v>
      </c>
      <c r="B73" s="18" t="s">
        <v>2129</v>
      </c>
      <c r="C73" s="19">
        <v>0</v>
      </c>
      <c r="D73" s="19">
        <v>0</v>
      </c>
      <c r="E73" s="19">
        <v>0</v>
      </c>
      <c r="F73" s="19">
        <v>0</v>
      </c>
      <c r="G73" s="19">
        <v>0</v>
      </c>
      <c r="H73" s="19">
        <f>G73/11*12</f>
        <v>0</v>
      </c>
      <c r="I73" s="19">
        <v>0</v>
      </c>
      <c r="J73" s="19">
        <v>0</v>
      </c>
      <c r="K73" s="244"/>
      <c r="N73"/>
      <c r="O73"/>
    </row>
    <row r="74" spans="1:15" s="7" customFormat="1" x14ac:dyDescent="0.25">
      <c r="A74" s="18" t="s">
        <v>2130</v>
      </c>
      <c r="B74" s="18" t="s">
        <v>2131</v>
      </c>
      <c r="C74" s="19">
        <v>7000</v>
      </c>
      <c r="D74" s="19">
        <v>0</v>
      </c>
      <c r="E74" s="19">
        <v>0</v>
      </c>
      <c r="F74" s="19">
        <v>0</v>
      </c>
      <c r="G74" s="19">
        <v>0</v>
      </c>
      <c r="H74" s="19">
        <f t="shared" ref="H74:H84" si="8">G74/11*12</f>
        <v>0</v>
      </c>
      <c r="I74" s="19">
        <v>0</v>
      </c>
      <c r="J74" s="19">
        <v>0</v>
      </c>
      <c r="K74" s="244"/>
      <c r="N74"/>
      <c r="O74"/>
    </row>
    <row r="75" spans="1:15" s="7" customFormat="1" x14ac:dyDescent="0.25">
      <c r="A75" s="18" t="s">
        <v>2132</v>
      </c>
      <c r="B75" s="18" t="s">
        <v>2133</v>
      </c>
      <c r="C75" s="19">
        <v>13624.45</v>
      </c>
      <c r="D75" s="19">
        <v>0</v>
      </c>
      <c r="E75" s="19">
        <v>0</v>
      </c>
      <c r="F75" s="19">
        <v>0</v>
      </c>
      <c r="G75" s="19">
        <v>0</v>
      </c>
      <c r="H75" s="19">
        <f t="shared" si="8"/>
        <v>0</v>
      </c>
      <c r="I75" s="19">
        <v>0</v>
      </c>
      <c r="J75" s="19">
        <v>0</v>
      </c>
      <c r="K75" s="244"/>
      <c r="N75"/>
      <c r="O75"/>
    </row>
    <row r="76" spans="1:15" s="7" customFormat="1" x14ac:dyDescent="0.25">
      <c r="A76" s="18" t="s">
        <v>2134</v>
      </c>
      <c r="B76" s="18" t="s">
        <v>2117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  <c r="H76" s="19">
        <f t="shared" si="8"/>
        <v>0</v>
      </c>
      <c r="I76" s="19">
        <v>0</v>
      </c>
      <c r="J76" s="19">
        <v>8562</v>
      </c>
      <c r="K76" s="244"/>
      <c r="N76"/>
      <c r="O76"/>
    </row>
    <row r="77" spans="1:15" s="7" customFormat="1" x14ac:dyDescent="0.25">
      <c r="A77" s="18" t="s">
        <v>2135</v>
      </c>
      <c r="B77" s="18" t="s">
        <v>2136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  <c r="H77" s="19">
        <f t="shared" si="8"/>
        <v>0</v>
      </c>
      <c r="I77" s="19">
        <v>0</v>
      </c>
      <c r="J77" s="19">
        <v>0</v>
      </c>
      <c r="K77" s="244"/>
      <c r="N77"/>
      <c r="O77"/>
    </row>
    <row r="78" spans="1:15" s="7" customFormat="1" x14ac:dyDescent="0.25">
      <c r="A78" s="18" t="s">
        <v>2137</v>
      </c>
      <c r="B78" s="18" t="s">
        <v>2138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  <c r="H78" s="19">
        <f t="shared" si="8"/>
        <v>0</v>
      </c>
      <c r="I78" s="19">
        <v>0</v>
      </c>
      <c r="J78" s="19">
        <v>0</v>
      </c>
      <c r="K78" s="244"/>
      <c r="N78"/>
      <c r="O78"/>
    </row>
    <row r="79" spans="1:15" s="7" customFormat="1" x14ac:dyDescent="0.25">
      <c r="A79" s="18" t="s">
        <v>2139</v>
      </c>
      <c r="B79" s="18" t="s">
        <v>2140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  <c r="H79" s="19">
        <f t="shared" si="8"/>
        <v>0</v>
      </c>
      <c r="I79" s="19">
        <v>0</v>
      </c>
      <c r="J79" s="19">
        <v>0</v>
      </c>
      <c r="K79" s="244"/>
      <c r="N79"/>
      <c r="O79"/>
    </row>
    <row r="80" spans="1:15" s="7" customFormat="1" x14ac:dyDescent="0.25">
      <c r="A80" s="18" t="s">
        <v>2141</v>
      </c>
      <c r="B80" s="18" t="s">
        <v>2142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  <c r="H80" s="19">
        <f t="shared" si="8"/>
        <v>0</v>
      </c>
      <c r="I80" s="19">
        <v>0</v>
      </c>
      <c r="J80" s="19">
        <v>0</v>
      </c>
      <c r="K80" s="244"/>
      <c r="N80"/>
      <c r="O80"/>
    </row>
    <row r="81" spans="1:15" s="7" customFormat="1" x14ac:dyDescent="0.25">
      <c r="A81" s="18" t="s">
        <v>2143</v>
      </c>
      <c r="B81" s="18" t="s">
        <v>2144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  <c r="H81" s="19">
        <f t="shared" si="8"/>
        <v>0</v>
      </c>
      <c r="I81" s="19">
        <v>0</v>
      </c>
      <c r="J81" s="19">
        <v>1965</v>
      </c>
      <c r="K81" s="244"/>
      <c r="N81"/>
      <c r="O81"/>
    </row>
    <row r="82" spans="1:15" s="7" customFormat="1" x14ac:dyDescent="0.25">
      <c r="A82" s="18" t="s">
        <v>2145</v>
      </c>
      <c r="B82" s="18" t="s">
        <v>2146</v>
      </c>
      <c r="C82" s="19">
        <v>174600</v>
      </c>
      <c r="D82" s="19">
        <v>0</v>
      </c>
      <c r="E82" s="19">
        <v>0</v>
      </c>
      <c r="F82" s="19">
        <v>0</v>
      </c>
      <c r="G82" s="19">
        <v>0</v>
      </c>
      <c r="H82" s="19">
        <f t="shared" si="8"/>
        <v>0</v>
      </c>
      <c r="I82" s="19">
        <v>0</v>
      </c>
      <c r="J82" s="19">
        <v>0</v>
      </c>
      <c r="K82" s="244"/>
      <c r="N82"/>
      <c r="O82"/>
    </row>
    <row r="83" spans="1:15" s="7" customFormat="1" x14ac:dyDescent="0.25">
      <c r="A83" s="18" t="s">
        <v>2147</v>
      </c>
      <c r="B83" s="18" t="s">
        <v>2148</v>
      </c>
      <c r="C83" s="19">
        <v>14028.28</v>
      </c>
      <c r="D83" s="19">
        <v>0</v>
      </c>
      <c r="E83" s="19">
        <v>0</v>
      </c>
      <c r="F83" s="19">
        <v>0</v>
      </c>
      <c r="G83" s="19">
        <v>0</v>
      </c>
      <c r="H83" s="19">
        <f t="shared" si="8"/>
        <v>0</v>
      </c>
      <c r="I83" s="19">
        <v>20000</v>
      </c>
      <c r="J83" s="19">
        <f>62500+20000</f>
        <v>82500</v>
      </c>
      <c r="K83" s="244" t="s">
        <v>4072</v>
      </c>
      <c r="N83"/>
      <c r="O83"/>
    </row>
    <row r="84" spans="1:15" s="7" customFormat="1" x14ac:dyDescent="0.25">
      <c r="A84" s="18" t="s">
        <v>2149</v>
      </c>
      <c r="B84" s="18" t="s">
        <v>2150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  <c r="H84" s="19">
        <f t="shared" si="8"/>
        <v>0</v>
      </c>
      <c r="I84" s="19">
        <v>0</v>
      </c>
      <c r="J84" s="19">
        <v>0</v>
      </c>
      <c r="K84" s="244"/>
      <c r="N84"/>
      <c r="O84"/>
    </row>
    <row r="85" spans="1:15" s="7" customFormat="1" x14ac:dyDescent="0.25">
      <c r="A85" s="18" t="s">
        <v>2151</v>
      </c>
      <c r="B85" s="18" t="s">
        <v>2152</v>
      </c>
      <c r="C85" s="19">
        <v>0</v>
      </c>
      <c r="D85" s="19">
        <v>0</v>
      </c>
      <c r="E85" s="19">
        <v>2115.06</v>
      </c>
      <c r="F85" s="19">
        <v>2115.06</v>
      </c>
      <c r="G85" s="19">
        <v>2115.06</v>
      </c>
      <c r="H85" s="19">
        <f>G85</f>
        <v>2115.06</v>
      </c>
      <c r="I85" s="19">
        <v>0</v>
      </c>
      <c r="J85" s="19">
        <v>0</v>
      </c>
      <c r="K85" s="244"/>
      <c r="N85"/>
      <c r="O85"/>
    </row>
    <row r="86" spans="1:15" s="7" customFormat="1" x14ac:dyDescent="0.25">
      <c r="A86" s="18" t="s">
        <v>2153</v>
      </c>
      <c r="B86" s="18" t="s">
        <v>2154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  <c r="H86" s="19">
        <f>G86/11*12</f>
        <v>0</v>
      </c>
      <c r="I86" s="19">
        <v>0</v>
      </c>
      <c r="J86" s="19">
        <v>6597</v>
      </c>
      <c r="K86" s="244"/>
      <c r="N86"/>
      <c r="O86"/>
    </row>
    <row r="87" spans="1:15" s="7" customFormat="1" x14ac:dyDescent="0.25">
      <c r="A87" s="18" t="s">
        <v>2155</v>
      </c>
      <c r="B87" s="18" t="s">
        <v>2156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  <c r="H87" s="19">
        <f>G87/11*12</f>
        <v>0</v>
      </c>
      <c r="I87" s="19">
        <v>0</v>
      </c>
      <c r="J87" s="19">
        <v>0</v>
      </c>
      <c r="K87" s="244"/>
      <c r="N87"/>
      <c r="O87"/>
    </row>
    <row r="88" spans="1:15" s="7" customFormat="1" x14ac:dyDescent="0.25">
      <c r="A88" s="16" t="s">
        <v>2157</v>
      </c>
      <c r="B88" s="16" t="s">
        <v>2</v>
      </c>
      <c r="C88" s="20">
        <v>209252.73</v>
      </c>
      <c r="D88" s="20">
        <v>0</v>
      </c>
      <c r="E88" s="20">
        <f t="shared" ref="E88:J88" si="9">SUM(E73:E87)</f>
        <v>2115.06</v>
      </c>
      <c r="F88" s="20">
        <f t="shared" si="9"/>
        <v>2115.06</v>
      </c>
      <c r="G88" s="20">
        <f t="shared" si="9"/>
        <v>2115.06</v>
      </c>
      <c r="H88" s="20">
        <f t="shared" si="9"/>
        <v>2115.06</v>
      </c>
      <c r="I88" s="20">
        <f t="shared" si="9"/>
        <v>20000</v>
      </c>
      <c r="J88" s="20">
        <f t="shared" si="9"/>
        <v>99624</v>
      </c>
      <c r="K88" s="244"/>
      <c r="N88"/>
      <c r="O88"/>
    </row>
    <row r="89" spans="1:15" s="7" customFormat="1" x14ac:dyDescent="0.25">
      <c r="A89" s="16" t="s">
        <v>2</v>
      </c>
      <c r="B89" s="16" t="s">
        <v>2</v>
      </c>
      <c r="C89" s="16" t="s">
        <v>2</v>
      </c>
      <c r="D89" s="16" t="s">
        <v>2</v>
      </c>
      <c r="E89" s="16"/>
      <c r="F89" s="16"/>
      <c r="G89" s="16"/>
      <c r="H89" s="16"/>
      <c r="I89" s="16" t="s">
        <v>2</v>
      </c>
      <c r="J89" s="16" t="s">
        <v>2</v>
      </c>
      <c r="K89" s="244"/>
      <c r="N89"/>
      <c r="O89"/>
    </row>
    <row r="90" spans="1:15" s="7" customFormat="1" x14ac:dyDescent="0.25">
      <c r="A90" s="18" t="s">
        <v>2158</v>
      </c>
      <c r="B90" s="18" t="s">
        <v>2159</v>
      </c>
      <c r="C90" s="19">
        <v>60306</v>
      </c>
      <c r="D90" s="19">
        <v>0</v>
      </c>
      <c r="E90" s="19">
        <v>0</v>
      </c>
      <c r="F90" s="19">
        <v>0</v>
      </c>
      <c r="G90" s="19">
        <v>0</v>
      </c>
      <c r="H90" s="19">
        <f>G90/11*12</f>
        <v>0</v>
      </c>
      <c r="I90" s="19">
        <v>0</v>
      </c>
      <c r="J90" s="19">
        <v>0</v>
      </c>
      <c r="K90" s="244"/>
      <c r="N90"/>
      <c r="O90"/>
    </row>
    <row r="91" spans="1:15" s="7" customFormat="1" ht="24" x14ac:dyDescent="0.25">
      <c r="A91" s="16" t="s">
        <v>2160</v>
      </c>
      <c r="B91" s="16" t="s">
        <v>2</v>
      </c>
      <c r="C91" s="17"/>
      <c r="D91" s="17"/>
      <c r="E91" s="17"/>
      <c r="F91" s="17"/>
      <c r="G91" s="17"/>
      <c r="H91" s="17"/>
      <c r="I91" s="17"/>
      <c r="J91" s="17"/>
      <c r="K91" s="244"/>
      <c r="N91"/>
      <c r="O91"/>
    </row>
    <row r="92" spans="1:15" s="7" customFormat="1" x14ac:dyDescent="0.25">
      <c r="A92" s="18" t="s">
        <v>2161</v>
      </c>
      <c r="B92" s="18" t="s">
        <v>2162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  <c r="H92" s="19">
        <f>G92/11*12</f>
        <v>0</v>
      </c>
      <c r="I92" s="19">
        <v>0</v>
      </c>
      <c r="J92" s="19">
        <v>0</v>
      </c>
      <c r="K92" s="244"/>
      <c r="N92"/>
      <c r="O92"/>
    </row>
    <row r="93" spans="1:15" s="7" customFormat="1" x14ac:dyDescent="0.25">
      <c r="A93" s="18" t="s">
        <v>2163</v>
      </c>
      <c r="B93" s="18" t="s">
        <v>2164</v>
      </c>
      <c r="C93" s="19">
        <v>31501.34</v>
      </c>
      <c r="D93" s="19">
        <v>9531.6299999999992</v>
      </c>
      <c r="E93" s="19">
        <v>30588.27</v>
      </c>
      <c r="F93" s="19">
        <v>30588.27</v>
      </c>
      <c r="G93" s="19">
        <v>30588.27</v>
      </c>
      <c r="H93" s="19">
        <f t="shared" ref="H93:H96" si="10">G93/11*12</f>
        <v>33369.02181818182</v>
      </c>
      <c r="I93" s="19">
        <v>22000</v>
      </c>
      <c r="J93" s="19">
        <v>40000</v>
      </c>
      <c r="K93" s="244"/>
      <c r="N93"/>
      <c r="O93"/>
    </row>
    <row r="94" spans="1:15" s="7" customFormat="1" x14ac:dyDescent="0.25">
      <c r="A94" s="18" t="s">
        <v>2165</v>
      </c>
      <c r="B94" s="18" t="s">
        <v>2166</v>
      </c>
      <c r="C94" s="19">
        <v>2402.5</v>
      </c>
      <c r="D94" s="19">
        <v>1301.68</v>
      </c>
      <c r="E94" s="19">
        <v>1269.07</v>
      </c>
      <c r="F94" s="19">
        <v>1783.07</v>
      </c>
      <c r="G94" s="19">
        <v>1783.07</v>
      </c>
      <c r="H94" s="19">
        <f t="shared" si="10"/>
        <v>1945.1672727272726</v>
      </c>
      <c r="I94" s="19">
        <v>1500</v>
      </c>
      <c r="J94" s="19">
        <v>1500</v>
      </c>
      <c r="K94" s="244"/>
      <c r="N94"/>
      <c r="O94"/>
    </row>
    <row r="95" spans="1:15" s="7" customFormat="1" x14ac:dyDescent="0.25">
      <c r="A95" s="18" t="s">
        <v>2167</v>
      </c>
      <c r="B95" s="18" t="s">
        <v>2168</v>
      </c>
      <c r="C95" s="19">
        <v>102749.03</v>
      </c>
      <c r="D95" s="19">
        <v>55368.08</v>
      </c>
      <c r="E95" s="19">
        <v>80566.880000000005</v>
      </c>
      <c r="F95" s="19">
        <v>110083.54</v>
      </c>
      <c r="G95" s="19">
        <v>110083.54</v>
      </c>
      <c r="H95" s="19">
        <f t="shared" si="10"/>
        <v>120091.13454545455</v>
      </c>
      <c r="I95" s="19">
        <v>98492</v>
      </c>
      <c r="J95" s="19">
        <f>Income!$D$67</f>
        <v>109554</v>
      </c>
      <c r="K95" s="244"/>
      <c r="N95"/>
      <c r="O95"/>
    </row>
    <row r="96" spans="1:15" s="7" customFormat="1" x14ac:dyDescent="0.25">
      <c r="A96" s="18" t="s">
        <v>2169</v>
      </c>
      <c r="B96" s="18" t="s">
        <v>2170</v>
      </c>
      <c r="C96" s="19">
        <v>115352.46</v>
      </c>
      <c r="D96" s="19">
        <v>30192.91</v>
      </c>
      <c r="E96" s="19">
        <v>90573.48</v>
      </c>
      <c r="F96" s="19">
        <v>90573.48</v>
      </c>
      <c r="G96" s="19">
        <v>90573.48</v>
      </c>
      <c r="H96" s="19">
        <f t="shared" si="10"/>
        <v>98807.43272727271</v>
      </c>
      <c r="I96" s="19">
        <v>118953</v>
      </c>
      <c r="J96" s="19">
        <f>Income!$D$64</f>
        <v>122171</v>
      </c>
      <c r="K96" s="244"/>
      <c r="N96"/>
      <c r="O96"/>
    </row>
    <row r="97" spans="1:15" s="7" customFormat="1" ht="24" x14ac:dyDescent="0.25">
      <c r="A97" s="16" t="s">
        <v>2171</v>
      </c>
      <c r="B97" s="16" t="s">
        <v>2</v>
      </c>
      <c r="C97" s="20">
        <v>252005.33</v>
      </c>
      <c r="D97" s="20">
        <v>96394.3</v>
      </c>
      <c r="E97" s="20">
        <f t="shared" ref="E97:J97" si="11">SUM(E92:E96)</f>
        <v>202997.7</v>
      </c>
      <c r="F97" s="20">
        <f t="shared" si="11"/>
        <v>233028.36</v>
      </c>
      <c r="G97" s="20">
        <f t="shared" si="11"/>
        <v>233028.36</v>
      </c>
      <c r="H97" s="20">
        <f t="shared" si="11"/>
        <v>254212.75636363635</v>
      </c>
      <c r="I97" s="20">
        <f t="shared" si="11"/>
        <v>240945</v>
      </c>
      <c r="J97" s="20">
        <f t="shared" si="11"/>
        <v>273225</v>
      </c>
      <c r="K97" s="244"/>
      <c r="L97" s="21"/>
      <c r="N97"/>
      <c r="O97"/>
    </row>
    <row r="98" spans="1:15" s="7" customFormat="1" x14ac:dyDescent="0.25">
      <c r="A98" s="16" t="s">
        <v>2</v>
      </c>
      <c r="B98" s="16" t="s">
        <v>2</v>
      </c>
      <c r="C98" s="16" t="s">
        <v>2</v>
      </c>
      <c r="D98" s="16" t="s">
        <v>2</v>
      </c>
      <c r="E98" s="16"/>
      <c r="F98" s="16"/>
      <c r="G98" s="16"/>
      <c r="H98" s="16"/>
      <c r="I98" s="16" t="s">
        <v>2</v>
      </c>
      <c r="J98" s="16" t="s">
        <v>2</v>
      </c>
      <c r="K98" s="244"/>
      <c r="N98"/>
      <c r="O98"/>
    </row>
    <row r="99" spans="1:15" s="7" customFormat="1" x14ac:dyDescent="0.25">
      <c r="A99" s="18" t="s">
        <v>2172</v>
      </c>
      <c r="B99" s="18" t="s">
        <v>2173</v>
      </c>
      <c r="C99" s="19">
        <v>0</v>
      </c>
      <c r="D99" s="19">
        <v>15000</v>
      </c>
      <c r="E99" s="19">
        <v>15000</v>
      </c>
      <c r="F99" s="19">
        <v>15000</v>
      </c>
      <c r="G99" s="19">
        <v>15000</v>
      </c>
      <c r="H99" s="19">
        <f>G99</f>
        <v>15000</v>
      </c>
      <c r="I99" s="19">
        <v>0</v>
      </c>
      <c r="J99" s="19">
        <v>0</v>
      </c>
      <c r="K99" s="244"/>
      <c r="N99"/>
      <c r="O99"/>
    </row>
    <row r="100" spans="1:15" s="7" customFormat="1" ht="24" x14ac:dyDescent="0.25">
      <c r="A100" s="16" t="s">
        <v>2174</v>
      </c>
      <c r="B100" s="16" t="s">
        <v>2</v>
      </c>
      <c r="C100" s="20">
        <v>580130.62</v>
      </c>
      <c r="D100" s="20">
        <v>151886.5</v>
      </c>
      <c r="E100" s="20">
        <f>E59+E70+E88+E90+E97+E99</f>
        <v>263100.45</v>
      </c>
      <c r="F100" s="20">
        <f>F59+F70+F88+F90+F97+F99</f>
        <v>293131.11</v>
      </c>
      <c r="G100" s="20">
        <f>G59+G70+G88+G90+G97+G99</f>
        <v>293962.94</v>
      </c>
      <c r="H100" s="20">
        <f>H59+H70+H88+H90+H97+H99</f>
        <v>315147.33636363636</v>
      </c>
      <c r="I100" s="20">
        <f>I59+I61+I70+I88+I90+I97+I99</f>
        <v>298176.96000000002</v>
      </c>
      <c r="J100" s="20">
        <f>J59+J61+J70+J88+J90+J97+J99</f>
        <v>402849</v>
      </c>
      <c r="K100" s="244"/>
      <c r="L100" s="21"/>
      <c r="N100"/>
      <c r="O100"/>
    </row>
    <row r="101" spans="1:15" s="7" customFormat="1" x14ac:dyDescent="0.25">
      <c r="A101" s="16" t="s">
        <v>2</v>
      </c>
      <c r="B101" s="16" t="s">
        <v>2</v>
      </c>
      <c r="C101" s="16" t="s">
        <v>2</v>
      </c>
      <c r="D101" s="16" t="s">
        <v>2</v>
      </c>
      <c r="E101" s="16"/>
      <c r="F101" s="16"/>
      <c r="G101" s="16"/>
      <c r="H101" s="16"/>
      <c r="I101" s="16" t="s">
        <v>2</v>
      </c>
      <c r="J101" s="16" t="s">
        <v>2</v>
      </c>
      <c r="K101" s="245"/>
      <c r="N101"/>
      <c r="O101"/>
    </row>
    <row r="102" spans="1:15" s="7" customFormat="1" x14ac:dyDescent="0.25">
      <c r="A102" s="16" t="s">
        <v>2175</v>
      </c>
      <c r="B102" s="16" t="s">
        <v>2</v>
      </c>
      <c r="C102" s="17"/>
      <c r="D102" s="17"/>
      <c r="E102" s="17"/>
      <c r="F102" s="17"/>
      <c r="G102" s="17"/>
      <c r="H102" s="17"/>
      <c r="I102" s="17"/>
      <c r="J102" s="17"/>
      <c r="K102" s="244"/>
      <c r="N102"/>
      <c r="O102"/>
    </row>
    <row r="103" spans="1:15" s="7" customFormat="1" x14ac:dyDescent="0.25">
      <c r="A103" s="16" t="s">
        <v>2176</v>
      </c>
      <c r="B103" s="16" t="s">
        <v>2</v>
      </c>
      <c r="C103" s="17"/>
      <c r="D103" s="17"/>
      <c r="E103" s="17"/>
      <c r="F103" s="17"/>
      <c r="G103" s="17"/>
      <c r="H103" s="17"/>
      <c r="I103" s="17"/>
      <c r="J103" s="17"/>
      <c r="K103" s="244"/>
      <c r="N103"/>
      <c r="O103"/>
    </row>
    <row r="104" spans="1:15" s="7" customFormat="1" x14ac:dyDescent="0.25">
      <c r="A104" s="18" t="s">
        <v>2177</v>
      </c>
      <c r="B104" s="18" t="s">
        <v>2178</v>
      </c>
      <c r="C104" s="19">
        <v>2559.56</v>
      </c>
      <c r="D104" s="19">
        <v>874.54</v>
      </c>
      <c r="E104" s="19">
        <v>2701.84</v>
      </c>
      <c r="F104" s="19">
        <v>3365.82</v>
      </c>
      <c r="G104" s="19">
        <v>4131.17</v>
      </c>
      <c r="H104" s="19">
        <f>G104/11*12</f>
        <v>4506.7309090909093</v>
      </c>
      <c r="I104" s="19">
        <v>2500</v>
      </c>
      <c r="J104" s="19">
        <v>2500</v>
      </c>
      <c r="K104" s="244"/>
      <c r="N104"/>
      <c r="O104"/>
    </row>
    <row r="105" spans="1:15" s="7" customFormat="1" ht="24" x14ac:dyDescent="0.25">
      <c r="A105" s="16" t="s">
        <v>2179</v>
      </c>
      <c r="B105" s="16" t="s">
        <v>2</v>
      </c>
      <c r="C105" s="20">
        <v>2559.56</v>
      </c>
      <c r="D105" s="20">
        <v>874.54</v>
      </c>
      <c r="E105" s="20">
        <f>E104</f>
        <v>2701.84</v>
      </c>
      <c r="F105" s="20">
        <f>F104</f>
        <v>3365.82</v>
      </c>
      <c r="G105" s="20">
        <f>G104</f>
        <v>4131.17</v>
      </c>
      <c r="H105" s="20">
        <f>H104</f>
        <v>4506.7309090909093</v>
      </c>
      <c r="I105" s="20">
        <f>SUM(I104)</f>
        <v>2500</v>
      </c>
      <c r="J105" s="20">
        <f>SUM(J104)</f>
        <v>2500</v>
      </c>
      <c r="K105" s="244"/>
      <c r="N105"/>
      <c r="O105"/>
    </row>
    <row r="106" spans="1:15" s="7" customFormat="1" x14ac:dyDescent="0.25">
      <c r="A106" s="16" t="s">
        <v>2</v>
      </c>
      <c r="B106" s="16" t="s">
        <v>2</v>
      </c>
      <c r="C106" s="16" t="s">
        <v>2</v>
      </c>
      <c r="D106" s="16" t="s">
        <v>2</v>
      </c>
      <c r="E106" s="16"/>
      <c r="F106" s="16"/>
      <c r="G106" s="16"/>
      <c r="H106" s="16"/>
      <c r="I106" s="16" t="s">
        <v>2</v>
      </c>
      <c r="J106" s="16" t="s">
        <v>2</v>
      </c>
      <c r="K106" s="244"/>
      <c r="N106"/>
      <c r="O106"/>
    </row>
    <row r="107" spans="1:15" s="7" customFormat="1" ht="24" x14ac:dyDescent="0.25">
      <c r="A107" s="16" t="s">
        <v>2180</v>
      </c>
      <c r="B107" s="16" t="s">
        <v>2</v>
      </c>
      <c r="C107" s="20">
        <v>2559.56</v>
      </c>
      <c r="D107" s="20">
        <v>874.54</v>
      </c>
      <c r="E107" s="20">
        <f t="shared" ref="E107:J107" si="12">E105</f>
        <v>2701.84</v>
      </c>
      <c r="F107" s="20">
        <f t="shared" si="12"/>
        <v>3365.82</v>
      </c>
      <c r="G107" s="20">
        <f t="shared" si="12"/>
        <v>4131.17</v>
      </c>
      <c r="H107" s="20">
        <f t="shared" si="12"/>
        <v>4506.7309090909093</v>
      </c>
      <c r="I107" s="20">
        <f t="shared" si="12"/>
        <v>2500</v>
      </c>
      <c r="J107" s="20">
        <f t="shared" si="12"/>
        <v>2500</v>
      </c>
      <c r="K107" s="244"/>
      <c r="N107"/>
      <c r="O107"/>
    </row>
    <row r="108" spans="1:15" s="7" customFormat="1" x14ac:dyDescent="0.25">
      <c r="A108" s="18" t="s">
        <v>2</v>
      </c>
      <c r="B108" s="18" t="s">
        <v>2</v>
      </c>
      <c r="C108" s="18" t="s">
        <v>2</v>
      </c>
      <c r="D108" s="18" t="s">
        <v>2</v>
      </c>
      <c r="E108" s="18"/>
      <c r="F108" s="18"/>
      <c r="G108" s="18"/>
      <c r="H108" s="18"/>
      <c r="I108" s="18" t="s">
        <v>2</v>
      </c>
      <c r="J108" s="18" t="s">
        <v>2</v>
      </c>
      <c r="K108" s="244"/>
      <c r="N108"/>
      <c r="O108"/>
    </row>
    <row r="109" spans="1:15" s="7" customFormat="1" ht="24" x14ac:dyDescent="0.25">
      <c r="A109" s="16" t="s">
        <v>2543</v>
      </c>
      <c r="B109" s="16" t="s">
        <v>2</v>
      </c>
      <c r="C109" s="17"/>
      <c r="D109" s="17"/>
      <c r="E109" s="17"/>
      <c r="F109" s="17"/>
      <c r="G109" s="17"/>
      <c r="H109" s="17"/>
      <c r="I109" s="17"/>
      <c r="J109" s="17"/>
      <c r="K109" s="244"/>
      <c r="N109"/>
      <c r="O109"/>
    </row>
    <row r="110" spans="1:15" s="7" customFormat="1" x14ac:dyDescent="0.25">
      <c r="A110" s="18" t="s">
        <v>2181</v>
      </c>
      <c r="B110" s="18" t="s">
        <v>2182</v>
      </c>
      <c r="C110" s="19">
        <v>0</v>
      </c>
      <c r="D110" s="19">
        <v>0</v>
      </c>
      <c r="E110" s="19">
        <v>34</v>
      </c>
      <c r="F110" s="19">
        <v>34</v>
      </c>
      <c r="G110" s="19">
        <v>34</v>
      </c>
      <c r="H110" s="19">
        <f>G110/11*12</f>
        <v>37.090909090909093</v>
      </c>
      <c r="I110" s="19">
        <v>0</v>
      </c>
      <c r="J110" s="19">
        <v>0</v>
      </c>
      <c r="K110" s="244"/>
      <c r="N110"/>
      <c r="O110"/>
    </row>
    <row r="111" spans="1:15" s="7" customFormat="1" x14ac:dyDescent="0.25">
      <c r="A111" s="18" t="s">
        <v>2183</v>
      </c>
      <c r="B111" s="18" t="s">
        <v>2184</v>
      </c>
      <c r="C111" s="19">
        <v>0</v>
      </c>
      <c r="D111" s="19">
        <v>0</v>
      </c>
      <c r="E111" s="19">
        <v>0</v>
      </c>
      <c r="F111" s="19">
        <v>0</v>
      </c>
      <c r="G111" s="19">
        <v>0</v>
      </c>
      <c r="H111" s="19">
        <f t="shared" ref="H111:H174" si="13">G111/11*12</f>
        <v>0</v>
      </c>
      <c r="I111" s="19">
        <v>0</v>
      </c>
      <c r="J111" s="19">
        <v>0</v>
      </c>
      <c r="K111" s="244"/>
      <c r="N111"/>
      <c r="O111"/>
    </row>
    <row r="112" spans="1:15" s="7" customFormat="1" x14ac:dyDescent="0.25">
      <c r="A112" s="18" t="s">
        <v>2185</v>
      </c>
      <c r="B112" s="18" t="s">
        <v>2186</v>
      </c>
      <c r="C112" s="19">
        <v>0</v>
      </c>
      <c r="D112" s="19">
        <v>0</v>
      </c>
      <c r="E112" s="19">
        <v>450</v>
      </c>
      <c r="F112" s="19">
        <v>450</v>
      </c>
      <c r="G112" s="19">
        <v>450</v>
      </c>
      <c r="H112" s="19">
        <f t="shared" si="13"/>
        <v>490.90909090909088</v>
      </c>
      <c r="I112" s="19">
        <v>0</v>
      </c>
      <c r="J112" s="19">
        <v>500</v>
      </c>
      <c r="K112" s="244"/>
      <c r="N112"/>
      <c r="O112"/>
    </row>
    <row r="113" spans="1:15" s="7" customFormat="1" x14ac:dyDescent="0.25">
      <c r="A113" s="18" t="s">
        <v>2187</v>
      </c>
      <c r="B113" s="18" t="s">
        <v>2188</v>
      </c>
      <c r="C113" s="19">
        <v>0</v>
      </c>
      <c r="D113" s="19">
        <v>0</v>
      </c>
      <c r="E113" s="19">
        <v>0</v>
      </c>
      <c r="F113" s="19">
        <v>0</v>
      </c>
      <c r="G113" s="19">
        <v>0</v>
      </c>
      <c r="H113" s="19">
        <f t="shared" si="13"/>
        <v>0</v>
      </c>
      <c r="I113" s="19">
        <v>0</v>
      </c>
      <c r="J113" s="19">
        <v>0</v>
      </c>
      <c r="K113" s="244"/>
      <c r="N113"/>
      <c r="O113"/>
    </row>
    <row r="114" spans="1:15" s="7" customFormat="1" x14ac:dyDescent="0.25">
      <c r="A114" s="18" t="s">
        <v>2189</v>
      </c>
      <c r="B114" s="18" t="s">
        <v>2190</v>
      </c>
      <c r="C114" s="19">
        <v>2520.4299999999998</v>
      </c>
      <c r="D114" s="19">
        <v>569.66</v>
      </c>
      <c r="E114" s="19">
        <v>808.13</v>
      </c>
      <c r="F114" s="19">
        <v>808.13</v>
      </c>
      <c r="G114" s="19">
        <v>850.64</v>
      </c>
      <c r="H114" s="19">
        <f t="shared" si="13"/>
        <v>927.97090909090912</v>
      </c>
      <c r="I114" s="19">
        <v>3500</v>
      </c>
      <c r="J114" s="19">
        <v>1000</v>
      </c>
      <c r="K114" s="244"/>
      <c r="N114"/>
      <c r="O114"/>
    </row>
    <row r="115" spans="1:15" s="7" customFormat="1" x14ac:dyDescent="0.25">
      <c r="A115" s="18" t="s">
        <v>2191</v>
      </c>
      <c r="B115" s="18" t="s">
        <v>2192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  <c r="H115" s="19">
        <f t="shared" si="13"/>
        <v>0</v>
      </c>
      <c r="I115" s="19">
        <v>0</v>
      </c>
      <c r="J115" s="19">
        <v>0</v>
      </c>
      <c r="K115" s="244"/>
      <c r="N115"/>
      <c r="O115"/>
    </row>
    <row r="116" spans="1:15" s="7" customFormat="1" x14ac:dyDescent="0.25">
      <c r="A116" s="18" t="s">
        <v>2193</v>
      </c>
      <c r="B116" s="18" t="s">
        <v>2194</v>
      </c>
      <c r="C116" s="19">
        <v>1.27</v>
      </c>
      <c r="D116" s="19">
        <v>0</v>
      </c>
      <c r="E116" s="19">
        <v>0</v>
      </c>
      <c r="F116" s="19">
        <v>0</v>
      </c>
      <c r="G116" s="19">
        <v>0</v>
      </c>
      <c r="H116" s="19">
        <f t="shared" si="13"/>
        <v>0</v>
      </c>
      <c r="I116" s="19">
        <v>0</v>
      </c>
      <c r="J116" s="19">
        <v>0</v>
      </c>
      <c r="K116" s="244"/>
      <c r="N116"/>
      <c r="O116"/>
    </row>
    <row r="117" spans="1:15" s="7" customFormat="1" x14ac:dyDescent="0.25">
      <c r="A117" s="18" t="s">
        <v>2195</v>
      </c>
      <c r="B117" s="18" t="s">
        <v>2196</v>
      </c>
      <c r="C117" s="19">
        <v>1187</v>
      </c>
      <c r="D117" s="19">
        <v>772.67</v>
      </c>
      <c r="E117" s="19">
        <v>1398.77</v>
      </c>
      <c r="F117" s="19">
        <v>1488.13</v>
      </c>
      <c r="G117" s="19">
        <v>1612.53</v>
      </c>
      <c r="H117" s="19">
        <f t="shared" si="13"/>
        <v>1759.1236363636363</v>
      </c>
      <c r="I117" s="19">
        <v>1000</v>
      </c>
      <c r="J117" s="19">
        <v>1200</v>
      </c>
      <c r="K117" s="244"/>
      <c r="N117"/>
      <c r="O117"/>
    </row>
    <row r="118" spans="1:15" s="7" customFormat="1" x14ac:dyDescent="0.25">
      <c r="A118" s="18" t="s">
        <v>2197</v>
      </c>
      <c r="B118" s="18" t="s">
        <v>2198</v>
      </c>
      <c r="C118" s="19">
        <v>0</v>
      </c>
      <c r="D118" s="19">
        <v>120</v>
      </c>
      <c r="E118" s="19">
        <v>150</v>
      </c>
      <c r="F118" s="19">
        <v>150</v>
      </c>
      <c r="G118" s="19">
        <v>150</v>
      </c>
      <c r="H118" s="19">
        <f t="shared" si="13"/>
        <v>163.63636363636363</v>
      </c>
      <c r="I118" s="19">
        <v>1000</v>
      </c>
      <c r="J118" s="19">
        <v>150</v>
      </c>
      <c r="K118" s="244"/>
      <c r="N118"/>
      <c r="O118"/>
    </row>
    <row r="119" spans="1:15" s="7" customFormat="1" x14ac:dyDescent="0.25">
      <c r="A119" s="18" t="s">
        <v>2199</v>
      </c>
      <c r="B119" s="18" t="s">
        <v>2200</v>
      </c>
      <c r="C119" s="19">
        <v>523532.55</v>
      </c>
      <c r="D119" s="19">
        <v>432447.83</v>
      </c>
      <c r="E119" s="19">
        <v>432447.83</v>
      </c>
      <c r="F119" s="19">
        <v>360373.19</v>
      </c>
      <c r="G119" s="19">
        <v>396410.51</v>
      </c>
      <c r="H119" s="19">
        <f t="shared" si="13"/>
        <v>432447.8290909091</v>
      </c>
      <c r="I119" s="19">
        <v>432447.83</v>
      </c>
      <c r="J119" s="19">
        <f>'Central Services'!$C$11</f>
        <v>523406.69</v>
      </c>
      <c r="K119" s="244"/>
      <c r="N119"/>
      <c r="O119"/>
    </row>
    <row r="120" spans="1:15" s="7" customFormat="1" x14ac:dyDescent="0.25">
      <c r="A120" s="18" t="s">
        <v>2201</v>
      </c>
      <c r="B120" s="18" t="s">
        <v>2202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  <c r="H120" s="19">
        <f t="shared" si="13"/>
        <v>0</v>
      </c>
      <c r="I120" s="19">
        <v>0</v>
      </c>
      <c r="J120" s="19">
        <v>0</v>
      </c>
      <c r="K120" s="244"/>
      <c r="N120"/>
      <c r="O120"/>
    </row>
    <row r="121" spans="1:15" s="7" customFormat="1" ht="15" customHeight="1" x14ac:dyDescent="0.25">
      <c r="A121" s="18" t="s">
        <v>2203</v>
      </c>
      <c r="B121" s="18" t="s">
        <v>2204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  <c r="H121" s="19">
        <f t="shared" si="13"/>
        <v>0</v>
      </c>
      <c r="I121" s="19">
        <v>0</v>
      </c>
      <c r="J121" s="19">
        <v>0</v>
      </c>
      <c r="K121" s="244"/>
      <c r="N121"/>
      <c r="O121"/>
    </row>
    <row r="122" spans="1:15" s="7" customFormat="1" x14ac:dyDescent="0.25">
      <c r="A122" s="18" t="s">
        <v>2205</v>
      </c>
      <c r="B122" s="18" t="s">
        <v>2206</v>
      </c>
      <c r="C122" s="19">
        <v>0</v>
      </c>
      <c r="D122" s="19">
        <v>0</v>
      </c>
      <c r="E122" s="19">
        <v>0</v>
      </c>
      <c r="F122" s="19">
        <v>0</v>
      </c>
      <c r="G122" s="19">
        <v>0</v>
      </c>
      <c r="H122" s="19">
        <f t="shared" si="13"/>
        <v>0</v>
      </c>
      <c r="I122" s="19">
        <v>0</v>
      </c>
      <c r="J122" s="19">
        <v>0</v>
      </c>
      <c r="K122" s="244"/>
      <c r="N122"/>
      <c r="O122"/>
    </row>
    <row r="123" spans="1:15" s="7" customFormat="1" x14ac:dyDescent="0.25">
      <c r="A123" s="18" t="s">
        <v>2207</v>
      </c>
      <c r="B123" s="18" t="s">
        <v>2208</v>
      </c>
      <c r="C123" s="19">
        <v>1.22</v>
      </c>
      <c r="D123" s="19">
        <v>0</v>
      </c>
      <c r="E123" s="19">
        <v>0</v>
      </c>
      <c r="F123" s="19">
        <v>0</v>
      </c>
      <c r="G123" s="19">
        <v>0</v>
      </c>
      <c r="H123" s="19">
        <f t="shared" si="13"/>
        <v>0</v>
      </c>
      <c r="I123" s="19">
        <v>0</v>
      </c>
      <c r="J123" s="19">
        <v>0</v>
      </c>
      <c r="K123" s="244"/>
      <c r="N123"/>
      <c r="O123"/>
    </row>
    <row r="124" spans="1:15" s="7" customFormat="1" x14ac:dyDescent="0.25">
      <c r="A124" s="18" t="s">
        <v>2209</v>
      </c>
      <c r="B124" s="18" t="s">
        <v>2210</v>
      </c>
      <c r="C124" s="19">
        <v>422.7</v>
      </c>
      <c r="D124" s="19">
        <v>19.350000000000001</v>
      </c>
      <c r="E124" s="19">
        <v>39.299999999999997</v>
      </c>
      <c r="F124" s="19">
        <v>116.95</v>
      </c>
      <c r="G124" s="19">
        <v>116.95</v>
      </c>
      <c r="H124" s="19">
        <f t="shared" si="13"/>
        <v>127.58181818181819</v>
      </c>
      <c r="I124" s="19">
        <v>0</v>
      </c>
      <c r="J124" s="19">
        <v>0</v>
      </c>
      <c r="K124" s="244"/>
      <c r="N124"/>
      <c r="O124"/>
    </row>
    <row r="125" spans="1:15" s="7" customFormat="1" x14ac:dyDescent="0.25">
      <c r="A125" s="18" t="s">
        <v>2211</v>
      </c>
      <c r="B125" s="18" t="s">
        <v>2212</v>
      </c>
      <c r="C125" s="19">
        <v>33</v>
      </c>
      <c r="D125" s="19">
        <v>0</v>
      </c>
      <c r="E125" s="19">
        <v>25.65</v>
      </c>
      <c r="F125" s="19">
        <v>25.65</v>
      </c>
      <c r="G125" s="19">
        <v>25.65</v>
      </c>
      <c r="H125" s="19">
        <f t="shared" si="13"/>
        <v>27.981818181818177</v>
      </c>
      <c r="I125" s="19">
        <v>0</v>
      </c>
      <c r="J125" s="19">
        <v>0</v>
      </c>
      <c r="K125" s="244"/>
      <c r="N125"/>
      <c r="O125"/>
    </row>
    <row r="126" spans="1:15" s="7" customFormat="1" x14ac:dyDescent="0.25">
      <c r="A126" s="18" t="s">
        <v>2213</v>
      </c>
      <c r="B126" s="18" t="s">
        <v>2214</v>
      </c>
      <c r="C126" s="19">
        <v>485.28</v>
      </c>
      <c r="D126" s="19">
        <v>0</v>
      </c>
      <c r="E126" s="19">
        <v>0</v>
      </c>
      <c r="F126" s="19">
        <v>0</v>
      </c>
      <c r="G126" s="19">
        <v>0</v>
      </c>
      <c r="H126" s="19">
        <f t="shared" si="13"/>
        <v>0</v>
      </c>
      <c r="I126" s="19">
        <v>0</v>
      </c>
      <c r="J126" s="19">
        <v>0</v>
      </c>
      <c r="K126" s="244"/>
      <c r="N126"/>
      <c r="O126"/>
    </row>
    <row r="127" spans="1:15" s="7" customFormat="1" x14ac:dyDescent="0.25">
      <c r="A127" s="18" t="s">
        <v>2215</v>
      </c>
      <c r="B127" s="18" t="s">
        <v>2216</v>
      </c>
      <c r="C127" s="19">
        <v>552</v>
      </c>
      <c r="D127" s="19">
        <v>232</v>
      </c>
      <c r="E127" s="19">
        <v>488</v>
      </c>
      <c r="F127" s="19">
        <v>538</v>
      </c>
      <c r="G127" s="19">
        <v>614</v>
      </c>
      <c r="H127" s="19">
        <f t="shared" si="13"/>
        <v>669.81818181818187</v>
      </c>
      <c r="I127" s="19">
        <v>500</v>
      </c>
      <c r="J127" s="19">
        <v>500</v>
      </c>
      <c r="K127" s="244"/>
      <c r="N127"/>
      <c r="O127"/>
    </row>
    <row r="128" spans="1:15" s="7" customFormat="1" x14ac:dyDescent="0.25">
      <c r="A128" s="18" t="s">
        <v>2217</v>
      </c>
      <c r="B128" s="18" t="s">
        <v>2218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f t="shared" si="13"/>
        <v>0</v>
      </c>
      <c r="I128" s="19">
        <v>0</v>
      </c>
      <c r="J128" s="19">
        <v>0</v>
      </c>
      <c r="K128" s="244"/>
      <c r="N128"/>
      <c r="O128"/>
    </row>
    <row r="129" spans="1:15" s="7" customFormat="1" x14ac:dyDescent="0.25">
      <c r="A129" s="18" t="s">
        <v>2219</v>
      </c>
      <c r="B129" s="18" t="s">
        <v>2220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  <c r="H129" s="19">
        <f t="shared" si="13"/>
        <v>0</v>
      </c>
      <c r="I129" s="19">
        <v>0</v>
      </c>
      <c r="J129" s="19">
        <v>0</v>
      </c>
      <c r="K129" s="244"/>
      <c r="N129"/>
      <c r="O129"/>
    </row>
    <row r="130" spans="1:15" s="7" customFormat="1" x14ac:dyDescent="0.25">
      <c r="A130" s="18" t="s">
        <v>2221</v>
      </c>
      <c r="B130" s="18" t="s">
        <v>2222</v>
      </c>
      <c r="C130" s="19">
        <v>19.739999999999998</v>
      </c>
      <c r="D130" s="19">
        <v>10.45</v>
      </c>
      <c r="E130" s="19">
        <v>24.55</v>
      </c>
      <c r="F130" s="19">
        <v>24.55</v>
      </c>
      <c r="G130" s="19">
        <v>24.55</v>
      </c>
      <c r="H130" s="19">
        <f t="shared" si="13"/>
        <v>26.781818181818181</v>
      </c>
      <c r="I130" s="19">
        <v>0</v>
      </c>
      <c r="J130" s="19">
        <v>0</v>
      </c>
      <c r="K130" s="244"/>
      <c r="N130"/>
      <c r="O130"/>
    </row>
    <row r="131" spans="1:15" s="7" customFormat="1" x14ac:dyDescent="0.25">
      <c r="A131" s="18" t="s">
        <v>2223</v>
      </c>
      <c r="B131" s="18" t="s">
        <v>2224</v>
      </c>
      <c r="C131" s="19">
        <v>13773.8</v>
      </c>
      <c r="D131" s="19">
        <v>9637.7000000000007</v>
      </c>
      <c r="E131" s="19">
        <v>13307.62</v>
      </c>
      <c r="F131" s="19">
        <v>13307.62</v>
      </c>
      <c r="G131" s="19">
        <v>15221.55</v>
      </c>
      <c r="H131" s="19">
        <f t="shared" si="13"/>
        <v>16605.327272727271</v>
      </c>
      <c r="I131" s="19">
        <v>10000</v>
      </c>
      <c r="J131" s="19">
        <v>10000</v>
      </c>
      <c r="K131" s="244"/>
      <c r="N131"/>
      <c r="O131"/>
    </row>
    <row r="132" spans="1:15" s="7" customFormat="1" x14ac:dyDescent="0.25">
      <c r="A132" s="18" t="s">
        <v>2225</v>
      </c>
      <c r="B132" s="18" t="s">
        <v>2226</v>
      </c>
      <c r="C132" s="19">
        <v>1950.12</v>
      </c>
      <c r="D132" s="19">
        <v>429.5</v>
      </c>
      <c r="E132" s="19">
        <v>1060.53</v>
      </c>
      <c r="F132" s="19">
        <v>1060.53</v>
      </c>
      <c r="G132" s="19">
        <v>1166.25</v>
      </c>
      <c r="H132" s="19">
        <f t="shared" si="13"/>
        <v>1272.2727272727273</v>
      </c>
      <c r="I132" s="19">
        <v>1200</v>
      </c>
      <c r="J132" s="19">
        <v>1000</v>
      </c>
      <c r="K132" s="244"/>
      <c r="N132"/>
      <c r="O132"/>
    </row>
    <row r="133" spans="1:15" s="7" customFormat="1" x14ac:dyDescent="0.25">
      <c r="A133" s="18" t="s">
        <v>2227</v>
      </c>
      <c r="B133" s="18" t="s">
        <v>2228</v>
      </c>
      <c r="C133" s="19">
        <v>15086.8</v>
      </c>
      <c r="D133" s="19">
        <v>7268.96</v>
      </c>
      <c r="E133" s="19">
        <v>12701.53</v>
      </c>
      <c r="F133" s="19">
        <v>12701.53</v>
      </c>
      <c r="G133" s="19">
        <v>14149.13</v>
      </c>
      <c r="H133" s="19">
        <f t="shared" si="13"/>
        <v>15435.414545454545</v>
      </c>
      <c r="I133" s="19">
        <v>15000</v>
      </c>
      <c r="J133" s="19">
        <v>15000</v>
      </c>
      <c r="K133" s="244"/>
      <c r="N133"/>
      <c r="O133"/>
    </row>
    <row r="134" spans="1:15" s="7" customFormat="1" x14ac:dyDescent="0.25">
      <c r="A134" s="18" t="s">
        <v>2229</v>
      </c>
      <c r="B134" s="18" t="s">
        <v>2230</v>
      </c>
      <c r="C134" s="19">
        <v>1096.29</v>
      </c>
      <c r="D134" s="19">
        <v>119.67</v>
      </c>
      <c r="E134" s="19">
        <v>219.67</v>
      </c>
      <c r="F134" s="19">
        <v>219.67</v>
      </c>
      <c r="G134" s="19">
        <v>361.97</v>
      </c>
      <c r="H134" s="19">
        <f t="shared" si="13"/>
        <v>394.87636363636364</v>
      </c>
      <c r="I134" s="19">
        <v>1000</v>
      </c>
      <c r="J134" s="19">
        <v>1000</v>
      </c>
      <c r="K134" s="244"/>
      <c r="N134"/>
      <c r="O134"/>
    </row>
    <row r="135" spans="1:15" s="7" customFormat="1" x14ac:dyDescent="0.25">
      <c r="A135" s="18" t="s">
        <v>2231</v>
      </c>
      <c r="B135" s="18" t="s">
        <v>2232</v>
      </c>
      <c r="C135" s="19">
        <v>1682.64</v>
      </c>
      <c r="D135" s="19">
        <v>1383.78</v>
      </c>
      <c r="E135" s="19">
        <v>2065.39</v>
      </c>
      <c r="F135" s="19">
        <v>2065.39</v>
      </c>
      <c r="G135" s="19">
        <v>2377.59</v>
      </c>
      <c r="H135" s="19">
        <f t="shared" si="13"/>
        <v>2593.7345454545457</v>
      </c>
      <c r="I135" s="19">
        <v>2500</v>
      </c>
      <c r="J135" s="19">
        <v>2500</v>
      </c>
      <c r="K135" s="244"/>
      <c r="N135"/>
      <c r="O135"/>
    </row>
    <row r="136" spans="1:15" s="7" customFormat="1" x14ac:dyDescent="0.25">
      <c r="A136" s="18" t="s">
        <v>2233</v>
      </c>
      <c r="B136" s="18" t="s">
        <v>2234</v>
      </c>
      <c r="C136" s="19">
        <v>3503.28</v>
      </c>
      <c r="D136" s="19">
        <v>1019.97</v>
      </c>
      <c r="E136" s="19">
        <v>2191.58</v>
      </c>
      <c r="F136" s="19">
        <v>2191.58</v>
      </c>
      <c r="G136" s="19">
        <v>2460.14</v>
      </c>
      <c r="H136" s="19">
        <f t="shared" si="13"/>
        <v>2683.7890909090906</v>
      </c>
      <c r="I136" s="19">
        <v>1500</v>
      </c>
      <c r="J136" s="19">
        <v>2000</v>
      </c>
      <c r="K136" s="244"/>
      <c r="N136"/>
      <c r="O136"/>
    </row>
    <row r="137" spans="1:15" s="7" customFormat="1" x14ac:dyDescent="0.25">
      <c r="A137" s="18" t="s">
        <v>2235</v>
      </c>
      <c r="B137" s="18" t="s">
        <v>2236</v>
      </c>
      <c r="C137" s="19">
        <v>150</v>
      </c>
      <c r="D137" s="19">
        <v>0</v>
      </c>
      <c r="E137" s="19">
        <v>0</v>
      </c>
      <c r="F137" s="19">
        <v>0</v>
      </c>
      <c r="G137" s="19">
        <v>0</v>
      </c>
      <c r="H137" s="19">
        <f t="shared" si="13"/>
        <v>0</v>
      </c>
      <c r="I137" s="19">
        <v>0</v>
      </c>
      <c r="J137" s="19">
        <v>0</v>
      </c>
      <c r="K137" s="244"/>
      <c r="N137"/>
      <c r="O137"/>
    </row>
    <row r="138" spans="1:15" s="7" customFormat="1" x14ac:dyDescent="0.25">
      <c r="A138" s="18" t="s">
        <v>2237</v>
      </c>
      <c r="B138" s="18" t="s">
        <v>2238</v>
      </c>
      <c r="C138" s="19">
        <v>5300</v>
      </c>
      <c r="D138" s="19">
        <v>3900</v>
      </c>
      <c r="E138" s="19">
        <v>5500</v>
      </c>
      <c r="F138" s="19">
        <v>5600</v>
      </c>
      <c r="G138" s="19">
        <v>6200</v>
      </c>
      <c r="H138" s="19">
        <f t="shared" si="13"/>
        <v>6763.636363636364</v>
      </c>
      <c r="I138" s="19">
        <v>4000</v>
      </c>
      <c r="J138" s="19">
        <v>4500</v>
      </c>
      <c r="K138" s="244"/>
      <c r="N138"/>
      <c r="O138"/>
    </row>
    <row r="139" spans="1:15" s="7" customFormat="1" x14ac:dyDescent="0.25">
      <c r="A139" s="18" t="s">
        <v>2239</v>
      </c>
      <c r="B139" s="18" t="s">
        <v>2240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  <c r="H139" s="19">
        <f t="shared" si="13"/>
        <v>0</v>
      </c>
      <c r="I139" s="19">
        <v>0</v>
      </c>
      <c r="J139" s="19">
        <v>0</v>
      </c>
      <c r="K139" s="244"/>
      <c r="N139"/>
      <c r="O139"/>
    </row>
    <row r="140" spans="1:15" s="7" customFormat="1" x14ac:dyDescent="0.25">
      <c r="A140" s="18" t="s">
        <v>2241</v>
      </c>
      <c r="B140" s="18" t="s">
        <v>2242</v>
      </c>
      <c r="C140" s="19">
        <v>43267</v>
      </c>
      <c r="D140" s="19">
        <v>13874</v>
      </c>
      <c r="E140" s="19">
        <v>15947</v>
      </c>
      <c r="F140" s="19">
        <v>15947</v>
      </c>
      <c r="G140" s="19">
        <v>15947</v>
      </c>
      <c r="H140" s="19">
        <f t="shared" si="13"/>
        <v>17396.727272727272</v>
      </c>
      <c r="I140" s="19">
        <v>30000</v>
      </c>
      <c r="J140" s="19">
        <v>20000</v>
      </c>
      <c r="K140" s="244"/>
      <c r="N140"/>
      <c r="O140"/>
    </row>
    <row r="141" spans="1:15" s="7" customFormat="1" x14ac:dyDescent="0.25">
      <c r="A141" s="18" t="s">
        <v>2243</v>
      </c>
      <c r="B141" s="18" t="s">
        <v>2244</v>
      </c>
      <c r="C141" s="19">
        <v>1589.86</v>
      </c>
      <c r="D141" s="19">
        <v>1012</v>
      </c>
      <c r="E141" s="19">
        <v>3813</v>
      </c>
      <c r="F141" s="19">
        <v>6614</v>
      </c>
      <c r="G141" s="19">
        <v>6614</v>
      </c>
      <c r="H141" s="19">
        <f t="shared" si="13"/>
        <v>7215.272727272727</v>
      </c>
      <c r="I141" s="19">
        <v>10000</v>
      </c>
      <c r="J141" s="19">
        <v>5000</v>
      </c>
      <c r="K141" s="244"/>
      <c r="N141"/>
      <c r="O141"/>
    </row>
    <row r="142" spans="1:15" s="7" customFormat="1" x14ac:dyDescent="0.25">
      <c r="A142" s="18" t="s">
        <v>2245</v>
      </c>
      <c r="B142" s="18" t="s">
        <v>2246</v>
      </c>
      <c r="C142" s="19">
        <v>6026</v>
      </c>
      <c r="D142" s="19">
        <v>8041</v>
      </c>
      <c r="E142" s="19">
        <v>13368</v>
      </c>
      <c r="F142" s="19">
        <v>13368</v>
      </c>
      <c r="G142" s="19">
        <v>15405</v>
      </c>
      <c r="H142" s="19">
        <f t="shared" si="13"/>
        <v>16805.454545454544</v>
      </c>
      <c r="I142" s="19">
        <v>2000</v>
      </c>
      <c r="J142" s="19">
        <v>2000</v>
      </c>
      <c r="K142" s="244"/>
      <c r="N142"/>
      <c r="O142"/>
    </row>
    <row r="143" spans="1:15" s="7" customFormat="1" x14ac:dyDescent="0.25">
      <c r="A143" s="18" t="s">
        <v>2247</v>
      </c>
      <c r="B143" s="18" t="s">
        <v>2248</v>
      </c>
      <c r="C143" s="19">
        <v>5751.25</v>
      </c>
      <c r="D143" s="19">
        <v>0</v>
      </c>
      <c r="E143" s="19">
        <v>0</v>
      </c>
      <c r="F143" s="19">
        <v>0</v>
      </c>
      <c r="G143" s="19">
        <v>0</v>
      </c>
      <c r="H143" s="19">
        <f t="shared" si="13"/>
        <v>0</v>
      </c>
      <c r="I143" s="19">
        <v>0</v>
      </c>
      <c r="J143" s="19">
        <v>0</v>
      </c>
      <c r="K143" s="244"/>
      <c r="N143"/>
      <c r="O143"/>
    </row>
    <row r="144" spans="1:15" s="7" customFormat="1" x14ac:dyDescent="0.25">
      <c r="A144" s="18" t="s">
        <v>2249</v>
      </c>
      <c r="B144" s="18" t="s">
        <v>2250</v>
      </c>
      <c r="C144" s="19">
        <v>2220</v>
      </c>
      <c r="D144" s="19">
        <v>0</v>
      </c>
      <c r="E144" s="19">
        <v>0</v>
      </c>
      <c r="F144" s="19">
        <v>0</v>
      </c>
      <c r="G144" s="19">
        <v>0</v>
      </c>
      <c r="H144" s="19">
        <f t="shared" si="13"/>
        <v>0</v>
      </c>
      <c r="I144" s="19">
        <v>0</v>
      </c>
      <c r="J144" s="19">
        <v>0</v>
      </c>
      <c r="K144" s="244"/>
      <c r="N144"/>
      <c r="O144"/>
    </row>
    <row r="145" spans="1:15" s="7" customFormat="1" x14ac:dyDescent="0.25">
      <c r="A145" s="18" t="s">
        <v>2251</v>
      </c>
      <c r="B145" s="18" t="s">
        <v>2252</v>
      </c>
      <c r="C145" s="19">
        <v>1975</v>
      </c>
      <c r="D145" s="19">
        <v>0</v>
      </c>
      <c r="E145" s="19">
        <v>420</v>
      </c>
      <c r="F145" s="19">
        <v>420</v>
      </c>
      <c r="G145" s="19">
        <v>840</v>
      </c>
      <c r="H145" s="19">
        <f t="shared" si="13"/>
        <v>916.36363636363626</v>
      </c>
      <c r="I145" s="19">
        <v>1000</v>
      </c>
      <c r="J145" s="19">
        <v>1000</v>
      </c>
      <c r="K145" s="244"/>
      <c r="N145"/>
      <c r="O145"/>
    </row>
    <row r="146" spans="1:15" s="7" customFormat="1" x14ac:dyDescent="0.25">
      <c r="A146" s="18" t="s">
        <v>2253</v>
      </c>
      <c r="B146" s="18" t="s">
        <v>2254</v>
      </c>
      <c r="C146" s="19">
        <v>6420</v>
      </c>
      <c r="D146" s="19">
        <v>2313</v>
      </c>
      <c r="E146" s="19">
        <v>4773</v>
      </c>
      <c r="F146" s="19">
        <v>4805</v>
      </c>
      <c r="G146" s="19">
        <v>5479</v>
      </c>
      <c r="H146" s="19">
        <f t="shared" si="13"/>
        <v>5977.090909090909</v>
      </c>
      <c r="I146" s="19">
        <v>3000</v>
      </c>
      <c r="J146" s="19">
        <v>3000</v>
      </c>
      <c r="K146" s="244"/>
      <c r="N146"/>
      <c r="O146"/>
    </row>
    <row r="147" spans="1:15" s="7" customFormat="1" x14ac:dyDescent="0.25">
      <c r="A147" s="18" t="s">
        <v>2255</v>
      </c>
      <c r="B147" s="18" t="s">
        <v>2256</v>
      </c>
      <c r="C147" s="19">
        <v>9031</v>
      </c>
      <c r="D147" s="19">
        <v>9592</v>
      </c>
      <c r="E147" s="19">
        <v>17440</v>
      </c>
      <c r="F147" s="19">
        <v>18312</v>
      </c>
      <c r="G147" s="19">
        <v>18312</v>
      </c>
      <c r="H147" s="19">
        <f t="shared" si="13"/>
        <v>19976.727272727272</v>
      </c>
      <c r="I147" s="19">
        <v>10000</v>
      </c>
      <c r="J147" s="19">
        <v>10000</v>
      </c>
      <c r="K147" s="244"/>
      <c r="N147"/>
      <c r="O147"/>
    </row>
    <row r="148" spans="1:15" s="7" customFormat="1" x14ac:dyDescent="0.25">
      <c r="A148" s="18" t="s">
        <v>2257</v>
      </c>
      <c r="B148" s="18" t="s">
        <v>2258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  <c r="H148" s="19">
        <f t="shared" si="13"/>
        <v>0</v>
      </c>
      <c r="I148" s="19">
        <v>0</v>
      </c>
      <c r="J148" s="19">
        <v>0</v>
      </c>
      <c r="K148" s="244"/>
      <c r="N148"/>
      <c r="O148"/>
    </row>
    <row r="149" spans="1:15" s="7" customFormat="1" x14ac:dyDescent="0.25">
      <c r="A149" s="18" t="s">
        <v>2259</v>
      </c>
      <c r="B149" s="18" t="s">
        <v>2260</v>
      </c>
      <c r="C149" s="19">
        <v>244185.18</v>
      </c>
      <c r="D149" s="19">
        <v>0</v>
      </c>
      <c r="E149" s="19">
        <v>0</v>
      </c>
      <c r="F149" s="19">
        <v>0</v>
      </c>
      <c r="G149" s="19">
        <v>0</v>
      </c>
      <c r="H149" s="19">
        <f t="shared" si="13"/>
        <v>0</v>
      </c>
      <c r="I149" s="19">
        <v>150000</v>
      </c>
      <c r="J149" s="19">
        <v>0</v>
      </c>
      <c r="K149" s="244"/>
      <c r="N149"/>
      <c r="O149"/>
    </row>
    <row r="150" spans="1:15" s="7" customFormat="1" x14ac:dyDescent="0.25">
      <c r="A150" s="18" t="s">
        <v>2261</v>
      </c>
      <c r="B150" s="18" t="s">
        <v>2262</v>
      </c>
      <c r="C150" s="19">
        <v>650</v>
      </c>
      <c r="D150" s="19">
        <v>11</v>
      </c>
      <c r="E150" s="19">
        <v>11</v>
      </c>
      <c r="F150" s="19">
        <v>11</v>
      </c>
      <c r="G150" s="19">
        <v>11</v>
      </c>
      <c r="H150" s="19">
        <f t="shared" si="13"/>
        <v>12</v>
      </c>
      <c r="I150" s="19">
        <v>0</v>
      </c>
      <c r="J150" s="19">
        <v>0</v>
      </c>
      <c r="K150" s="244"/>
      <c r="N150"/>
      <c r="O150"/>
    </row>
    <row r="151" spans="1:15" s="7" customFormat="1" x14ac:dyDescent="0.25">
      <c r="A151" s="18" t="s">
        <v>2263</v>
      </c>
      <c r="B151" s="18" t="s">
        <v>2264</v>
      </c>
      <c r="C151" s="19">
        <v>0</v>
      </c>
      <c r="D151" s="19">
        <v>2703</v>
      </c>
      <c r="E151" s="19">
        <v>2703</v>
      </c>
      <c r="F151" s="19">
        <v>2703</v>
      </c>
      <c r="G151" s="19">
        <v>2703</v>
      </c>
      <c r="H151" s="19">
        <f t="shared" si="13"/>
        <v>2948.7272727272725</v>
      </c>
      <c r="I151" s="19">
        <v>0</v>
      </c>
      <c r="J151" s="19">
        <v>0</v>
      </c>
      <c r="K151" s="244"/>
      <c r="N151"/>
      <c r="O151"/>
    </row>
    <row r="152" spans="1:15" s="7" customFormat="1" x14ac:dyDescent="0.25">
      <c r="A152" s="18" t="s">
        <v>2265</v>
      </c>
      <c r="B152" s="18" t="s">
        <v>2266</v>
      </c>
      <c r="C152" s="19">
        <v>0</v>
      </c>
      <c r="D152" s="19">
        <v>0</v>
      </c>
      <c r="E152" s="19">
        <v>0</v>
      </c>
      <c r="F152" s="19">
        <v>0</v>
      </c>
      <c r="G152" s="19">
        <v>0</v>
      </c>
      <c r="H152" s="19">
        <f t="shared" si="13"/>
        <v>0</v>
      </c>
      <c r="I152" s="19">
        <v>0</v>
      </c>
      <c r="J152" s="19">
        <v>0</v>
      </c>
      <c r="K152" s="244"/>
      <c r="N152"/>
      <c r="O152"/>
    </row>
    <row r="153" spans="1:15" s="7" customFormat="1" x14ac:dyDescent="0.25">
      <c r="A153" s="18" t="s">
        <v>2267</v>
      </c>
      <c r="B153" s="18" t="s">
        <v>2268</v>
      </c>
      <c r="C153" s="19">
        <v>2032.5</v>
      </c>
      <c r="D153" s="19">
        <v>0</v>
      </c>
      <c r="E153" s="19">
        <v>0</v>
      </c>
      <c r="F153" s="19">
        <v>0</v>
      </c>
      <c r="G153" s="19">
        <v>0</v>
      </c>
      <c r="H153" s="19">
        <f t="shared" si="13"/>
        <v>0</v>
      </c>
      <c r="I153" s="19">
        <v>0</v>
      </c>
      <c r="J153" s="19">
        <v>0</v>
      </c>
      <c r="K153" s="244"/>
      <c r="N153"/>
      <c r="O153"/>
    </row>
    <row r="154" spans="1:15" s="7" customFormat="1" x14ac:dyDescent="0.25">
      <c r="A154" s="18" t="s">
        <v>2269</v>
      </c>
      <c r="B154" s="18" t="s">
        <v>2270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  <c r="H154" s="19">
        <f t="shared" si="13"/>
        <v>0</v>
      </c>
      <c r="I154" s="19">
        <v>0</v>
      </c>
      <c r="J154" s="19">
        <v>0</v>
      </c>
      <c r="K154" s="244"/>
      <c r="N154"/>
      <c r="O154"/>
    </row>
    <row r="155" spans="1:15" s="7" customFormat="1" x14ac:dyDescent="0.25">
      <c r="A155" s="18" t="s">
        <v>2271</v>
      </c>
      <c r="B155" s="18" t="s">
        <v>2272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  <c r="H155" s="19">
        <f t="shared" si="13"/>
        <v>0</v>
      </c>
      <c r="I155" s="19">
        <v>0</v>
      </c>
      <c r="J155" s="19">
        <v>0</v>
      </c>
      <c r="K155" s="244"/>
      <c r="N155"/>
      <c r="O155"/>
    </row>
    <row r="156" spans="1:15" s="7" customFormat="1" x14ac:dyDescent="0.25">
      <c r="A156" s="18" t="s">
        <v>2273</v>
      </c>
      <c r="B156" s="18" t="s">
        <v>2274</v>
      </c>
      <c r="C156" s="19">
        <v>0</v>
      </c>
      <c r="D156" s="19">
        <v>5246</v>
      </c>
      <c r="E156" s="19">
        <v>5246</v>
      </c>
      <c r="F156" s="19">
        <v>5246</v>
      </c>
      <c r="G156" s="19">
        <v>5246</v>
      </c>
      <c r="H156" s="19">
        <f t="shared" si="13"/>
        <v>5722.909090909091</v>
      </c>
      <c r="I156" s="19">
        <v>0</v>
      </c>
      <c r="J156" s="19">
        <v>0</v>
      </c>
      <c r="K156" s="244"/>
      <c r="N156"/>
      <c r="O156"/>
    </row>
    <row r="157" spans="1:15" s="7" customFormat="1" x14ac:dyDescent="0.25">
      <c r="A157" s="18" t="s">
        <v>2275</v>
      </c>
      <c r="B157" s="18" t="s">
        <v>2276</v>
      </c>
      <c r="C157" s="19">
        <v>17334.5</v>
      </c>
      <c r="D157" s="19">
        <v>0</v>
      </c>
      <c r="E157" s="19">
        <v>0</v>
      </c>
      <c r="F157" s="19">
        <v>0</v>
      </c>
      <c r="G157" s="19">
        <v>0</v>
      </c>
      <c r="H157" s="19">
        <f t="shared" si="13"/>
        <v>0</v>
      </c>
      <c r="I157" s="19">
        <v>0</v>
      </c>
      <c r="J157" s="19">
        <v>0</v>
      </c>
      <c r="K157" s="244"/>
      <c r="N157"/>
      <c r="O157"/>
    </row>
    <row r="158" spans="1:15" s="7" customFormat="1" x14ac:dyDescent="0.25">
      <c r="A158" s="18" t="s">
        <v>2277</v>
      </c>
      <c r="B158" s="18" t="s">
        <v>2278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  <c r="H158" s="19">
        <f t="shared" si="13"/>
        <v>0</v>
      </c>
      <c r="I158" s="19">
        <v>0</v>
      </c>
      <c r="J158" s="19">
        <v>0</v>
      </c>
      <c r="K158" s="244"/>
      <c r="N158"/>
      <c r="O158"/>
    </row>
    <row r="159" spans="1:15" s="7" customFormat="1" x14ac:dyDescent="0.25">
      <c r="A159" s="18" t="s">
        <v>2279</v>
      </c>
      <c r="B159" s="18" t="s">
        <v>2280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  <c r="H159" s="19">
        <f t="shared" si="13"/>
        <v>0</v>
      </c>
      <c r="I159" s="19">
        <v>0</v>
      </c>
      <c r="J159" s="19">
        <v>0</v>
      </c>
      <c r="K159" s="244"/>
      <c r="N159"/>
      <c r="O159"/>
    </row>
    <row r="160" spans="1:15" s="7" customFormat="1" x14ac:dyDescent="0.25">
      <c r="A160" s="18" t="s">
        <v>2281</v>
      </c>
      <c r="B160" s="18" t="s">
        <v>2282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  <c r="H160" s="19">
        <f t="shared" si="13"/>
        <v>0</v>
      </c>
      <c r="I160" s="19">
        <v>0</v>
      </c>
      <c r="J160" s="19">
        <v>0</v>
      </c>
      <c r="K160" s="244"/>
      <c r="N160"/>
      <c r="O160"/>
    </row>
    <row r="161" spans="1:15" s="7" customFormat="1" x14ac:dyDescent="0.25">
      <c r="A161" s="18" t="s">
        <v>2283</v>
      </c>
      <c r="B161" s="18" t="s">
        <v>2284</v>
      </c>
      <c r="C161" s="19">
        <v>692045.27</v>
      </c>
      <c r="D161" s="19">
        <v>146327.25</v>
      </c>
      <c r="E161" s="19">
        <v>91101.1</v>
      </c>
      <c r="F161" s="19">
        <v>101948.08</v>
      </c>
      <c r="G161" s="19">
        <v>101073.95</v>
      </c>
      <c r="H161" s="19">
        <f t="shared" si="13"/>
        <v>110262.49090909091</v>
      </c>
      <c r="I161" s="19">
        <v>220000</v>
      </c>
      <c r="J161" s="19">
        <v>100000</v>
      </c>
      <c r="K161" s="244"/>
      <c r="N161"/>
      <c r="O161"/>
    </row>
    <row r="162" spans="1:15" s="7" customFormat="1" x14ac:dyDescent="0.25">
      <c r="A162" s="18" t="s">
        <v>2285</v>
      </c>
      <c r="B162" s="18" t="s">
        <v>2286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  <c r="H162" s="19">
        <f t="shared" si="13"/>
        <v>0</v>
      </c>
      <c r="I162" s="19">
        <v>0</v>
      </c>
      <c r="J162" s="19">
        <v>0</v>
      </c>
      <c r="K162" s="244"/>
      <c r="N162"/>
      <c r="O162"/>
    </row>
    <row r="163" spans="1:15" s="7" customFormat="1" x14ac:dyDescent="0.25">
      <c r="A163" s="18" t="s">
        <v>2287</v>
      </c>
      <c r="B163" s="18" t="s">
        <v>2288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  <c r="H163" s="19">
        <f t="shared" si="13"/>
        <v>0</v>
      </c>
      <c r="I163" s="19">
        <v>0</v>
      </c>
      <c r="J163" s="19">
        <v>0</v>
      </c>
      <c r="K163" s="244"/>
      <c r="N163"/>
      <c r="O163"/>
    </row>
    <row r="164" spans="1:15" s="7" customFormat="1" x14ac:dyDescent="0.25">
      <c r="A164" s="18" t="s">
        <v>2289</v>
      </c>
      <c r="B164" s="18" t="s">
        <v>2290</v>
      </c>
      <c r="C164" s="19">
        <v>6132</v>
      </c>
      <c r="D164" s="19">
        <v>7400</v>
      </c>
      <c r="E164" s="19">
        <v>12060</v>
      </c>
      <c r="F164" s="19">
        <v>12060</v>
      </c>
      <c r="G164" s="19">
        <v>12992</v>
      </c>
      <c r="H164" s="19">
        <f t="shared" si="13"/>
        <v>14173.090909090908</v>
      </c>
      <c r="I164" s="19">
        <v>3000</v>
      </c>
      <c r="J164" s="19">
        <v>3000</v>
      </c>
      <c r="K164" s="244"/>
      <c r="N164"/>
      <c r="O164"/>
    </row>
    <row r="165" spans="1:15" s="7" customFormat="1" x14ac:dyDescent="0.25">
      <c r="A165" s="18" t="s">
        <v>2291</v>
      </c>
      <c r="B165" s="18" t="s">
        <v>2292</v>
      </c>
      <c r="C165" s="19">
        <v>0</v>
      </c>
      <c r="D165" s="19">
        <v>0</v>
      </c>
      <c r="E165" s="19">
        <v>0</v>
      </c>
      <c r="F165" s="19">
        <v>0</v>
      </c>
      <c r="G165" s="19">
        <v>0</v>
      </c>
      <c r="H165" s="19">
        <f t="shared" si="13"/>
        <v>0</v>
      </c>
      <c r="I165" s="19">
        <v>0</v>
      </c>
      <c r="J165" s="19">
        <v>0</v>
      </c>
      <c r="K165" s="244"/>
      <c r="N165"/>
      <c r="O165"/>
    </row>
    <row r="166" spans="1:15" s="7" customFormat="1" x14ac:dyDescent="0.25">
      <c r="A166" s="18" t="s">
        <v>2293</v>
      </c>
      <c r="B166" s="18" t="s">
        <v>2294</v>
      </c>
      <c r="C166" s="19">
        <v>9709.75</v>
      </c>
      <c r="D166" s="19">
        <v>9118.75</v>
      </c>
      <c r="E166" s="19">
        <v>10986.5</v>
      </c>
      <c r="F166" s="19">
        <v>11732.5</v>
      </c>
      <c r="G166" s="19">
        <v>12137.75</v>
      </c>
      <c r="H166" s="19">
        <f t="shared" si="13"/>
        <v>13241.18181818182</v>
      </c>
      <c r="I166" s="19">
        <v>3000</v>
      </c>
      <c r="J166" s="19">
        <v>3000</v>
      </c>
      <c r="K166" s="244"/>
      <c r="N166"/>
      <c r="O166"/>
    </row>
    <row r="167" spans="1:15" s="7" customFormat="1" x14ac:dyDescent="0.25">
      <c r="A167" s="18" t="s">
        <v>2295</v>
      </c>
      <c r="B167" s="18" t="s">
        <v>2296</v>
      </c>
      <c r="C167" s="19">
        <v>600</v>
      </c>
      <c r="D167" s="19">
        <v>600</v>
      </c>
      <c r="E167" s="19">
        <v>600</v>
      </c>
      <c r="F167" s="19">
        <v>600</v>
      </c>
      <c r="G167" s="19">
        <v>600</v>
      </c>
      <c r="H167" s="19">
        <f t="shared" si="13"/>
        <v>654.5454545454545</v>
      </c>
      <c r="I167" s="19">
        <v>600</v>
      </c>
      <c r="J167" s="19">
        <v>600</v>
      </c>
      <c r="K167" s="244"/>
      <c r="N167"/>
      <c r="O167"/>
    </row>
    <row r="168" spans="1:15" s="7" customFormat="1" x14ac:dyDescent="0.25">
      <c r="A168" s="18" t="s">
        <v>2297</v>
      </c>
      <c r="B168" s="18" t="s">
        <v>2298</v>
      </c>
      <c r="C168" s="19">
        <v>350</v>
      </c>
      <c r="D168" s="19">
        <v>133.5</v>
      </c>
      <c r="E168" s="19">
        <v>317.5</v>
      </c>
      <c r="F168" s="19">
        <v>317.5</v>
      </c>
      <c r="G168" s="19">
        <v>317.5</v>
      </c>
      <c r="H168" s="19">
        <f t="shared" si="13"/>
        <v>346.36363636363637</v>
      </c>
      <c r="I168" s="19">
        <v>0</v>
      </c>
      <c r="J168" s="19">
        <v>0</v>
      </c>
      <c r="K168" s="244"/>
      <c r="N168"/>
      <c r="O168"/>
    </row>
    <row r="169" spans="1:15" s="7" customFormat="1" x14ac:dyDescent="0.25">
      <c r="A169" s="18" t="s">
        <v>2299</v>
      </c>
      <c r="B169" s="18" t="s">
        <v>2300</v>
      </c>
      <c r="C169" s="19">
        <v>6208</v>
      </c>
      <c r="D169" s="19">
        <v>3102</v>
      </c>
      <c r="E169" s="19">
        <v>5167.5</v>
      </c>
      <c r="F169" s="19">
        <v>5562.5</v>
      </c>
      <c r="G169" s="19">
        <v>5880.5</v>
      </c>
      <c r="H169" s="19">
        <f t="shared" si="13"/>
        <v>6415.0909090909099</v>
      </c>
      <c r="I169" s="19">
        <v>3000</v>
      </c>
      <c r="J169" s="19">
        <v>3500</v>
      </c>
      <c r="K169" s="244"/>
      <c r="N169"/>
      <c r="O169"/>
    </row>
    <row r="170" spans="1:15" s="7" customFormat="1" x14ac:dyDescent="0.25">
      <c r="A170" s="18" t="s">
        <v>2301</v>
      </c>
      <c r="B170" s="18" t="s">
        <v>2302</v>
      </c>
      <c r="C170" s="19">
        <v>380</v>
      </c>
      <c r="D170" s="19">
        <v>14995</v>
      </c>
      <c r="E170" s="19">
        <v>14995</v>
      </c>
      <c r="F170" s="19">
        <v>15755</v>
      </c>
      <c r="G170" s="19">
        <v>16075</v>
      </c>
      <c r="H170" s="19">
        <f t="shared" si="13"/>
        <v>17536.363636363636</v>
      </c>
      <c r="I170" s="19">
        <v>0</v>
      </c>
      <c r="J170" s="19">
        <v>10000</v>
      </c>
      <c r="K170" s="244"/>
      <c r="N170"/>
      <c r="O170"/>
    </row>
    <row r="171" spans="1:15" s="7" customFormat="1" x14ac:dyDescent="0.25">
      <c r="A171" s="18" t="s">
        <v>2303</v>
      </c>
      <c r="B171" s="18" t="s">
        <v>2304</v>
      </c>
      <c r="C171" s="19">
        <v>794</v>
      </c>
      <c r="D171" s="19">
        <v>35</v>
      </c>
      <c r="E171" s="19">
        <v>1026</v>
      </c>
      <c r="F171" s="19">
        <v>1026</v>
      </c>
      <c r="G171" s="19">
        <v>1026</v>
      </c>
      <c r="H171" s="19">
        <f t="shared" si="13"/>
        <v>1119.2727272727273</v>
      </c>
      <c r="I171" s="19">
        <v>0</v>
      </c>
      <c r="J171" s="19">
        <v>1000</v>
      </c>
      <c r="K171" s="244"/>
      <c r="N171"/>
      <c r="O171"/>
    </row>
    <row r="172" spans="1:15" s="7" customFormat="1" x14ac:dyDescent="0.25">
      <c r="A172" s="18" t="s">
        <v>2305</v>
      </c>
      <c r="B172" s="18" t="s">
        <v>2306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  <c r="H172" s="19">
        <f t="shared" si="13"/>
        <v>0</v>
      </c>
      <c r="I172" s="19">
        <v>0</v>
      </c>
      <c r="J172" s="19">
        <v>0</v>
      </c>
      <c r="K172" s="244"/>
      <c r="N172"/>
      <c r="O172"/>
    </row>
    <row r="173" spans="1:15" s="7" customFormat="1" x14ac:dyDescent="0.25">
      <c r="A173" s="18" t="s">
        <v>2307</v>
      </c>
      <c r="B173" s="18" t="s">
        <v>2308</v>
      </c>
      <c r="C173" s="19">
        <v>0</v>
      </c>
      <c r="D173" s="19">
        <v>0</v>
      </c>
      <c r="E173" s="19">
        <v>0</v>
      </c>
      <c r="F173" s="19">
        <v>0</v>
      </c>
      <c r="G173" s="19">
        <v>0</v>
      </c>
      <c r="H173" s="19">
        <f t="shared" si="13"/>
        <v>0</v>
      </c>
      <c r="I173" s="19">
        <v>0</v>
      </c>
      <c r="J173" s="19">
        <v>0</v>
      </c>
      <c r="K173" s="244"/>
      <c r="N173"/>
      <c r="O173"/>
    </row>
    <row r="174" spans="1:15" s="7" customFormat="1" x14ac:dyDescent="0.25">
      <c r="A174" s="18" t="s">
        <v>2309</v>
      </c>
      <c r="B174" s="18" t="s">
        <v>2310</v>
      </c>
      <c r="C174" s="19">
        <v>18835</v>
      </c>
      <c r="D174" s="19">
        <v>840</v>
      </c>
      <c r="E174" s="19">
        <v>9789</v>
      </c>
      <c r="F174" s="19">
        <v>9789</v>
      </c>
      <c r="G174" s="19">
        <v>9789</v>
      </c>
      <c r="H174" s="19">
        <f t="shared" si="13"/>
        <v>10678.90909090909</v>
      </c>
      <c r="I174" s="19">
        <v>10000</v>
      </c>
      <c r="J174" s="19">
        <v>11000</v>
      </c>
      <c r="K174" s="244"/>
      <c r="N174"/>
      <c r="O174"/>
    </row>
    <row r="175" spans="1:15" s="7" customFormat="1" x14ac:dyDescent="0.25">
      <c r="A175" s="18" t="s">
        <v>2311</v>
      </c>
      <c r="B175" s="18" t="s">
        <v>2312</v>
      </c>
      <c r="C175" s="19">
        <v>490</v>
      </c>
      <c r="D175" s="19">
        <v>1620</v>
      </c>
      <c r="E175" s="19">
        <v>3120</v>
      </c>
      <c r="F175" s="19">
        <v>3270</v>
      </c>
      <c r="G175" s="19">
        <v>3270</v>
      </c>
      <c r="H175" s="19">
        <f t="shared" ref="H175:H177" si="14">G175/11*12</f>
        <v>3567.272727272727</v>
      </c>
      <c r="I175" s="19">
        <v>0</v>
      </c>
      <c r="J175" s="19">
        <v>0</v>
      </c>
      <c r="K175" s="244"/>
      <c r="N175"/>
      <c r="O175"/>
    </row>
    <row r="176" spans="1:15" s="7" customFormat="1" x14ac:dyDescent="0.25">
      <c r="A176" s="18" t="s">
        <v>2313</v>
      </c>
      <c r="B176" s="18" t="s">
        <v>2314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  <c r="H176" s="19">
        <f t="shared" si="14"/>
        <v>0</v>
      </c>
      <c r="I176" s="19">
        <v>0</v>
      </c>
      <c r="J176" s="19">
        <v>0</v>
      </c>
      <c r="K176" s="244"/>
      <c r="N176"/>
      <c r="O176"/>
    </row>
    <row r="177" spans="1:15" s="7" customFormat="1" x14ac:dyDescent="0.25">
      <c r="A177" s="18" t="s">
        <v>2315</v>
      </c>
      <c r="B177" s="18" t="s">
        <v>2316</v>
      </c>
      <c r="C177" s="19">
        <v>4750</v>
      </c>
      <c r="D177" s="19">
        <v>0</v>
      </c>
      <c r="E177" s="19">
        <v>2000</v>
      </c>
      <c r="F177" s="19">
        <v>2000</v>
      </c>
      <c r="G177" s="19">
        <v>5000</v>
      </c>
      <c r="H177" s="19">
        <f t="shared" si="14"/>
        <v>5454.545454545455</v>
      </c>
      <c r="I177" s="19">
        <v>2000</v>
      </c>
      <c r="J177" s="19">
        <v>2000</v>
      </c>
      <c r="K177" s="244"/>
      <c r="N177"/>
      <c r="O177"/>
    </row>
    <row r="178" spans="1:15" s="7" customFormat="1" ht="24" x14ac:dyDescent="0.25">
      <c r="A178" s="16" t="s">
        <v>2544</v>
      </c>
      <c r="B178" s="16" t="s">
        <v>2</v>
      </c>
      <c r="C178" s="20">
        <v>1652074.43</v>
      </c>
      <c r="D178" s="20">
        <v>684895.04</v>
      </c>
      <c r="E178" s="20">
        <f t="shared" ref="E178:J178" si="15">SUM(E110:E177)</f>
        <v>687796.15</v>
      </c>
      <c r="F178" s="20">
        <f t="shared" si="15"/>
        <v>632641.50000000012</v>
      </c>
      <c r="G178" s="20">
        <f t="shared" si="15"/>
        <v>680944.16</v>
      </c>
      <c r="H178" s="20">
        <f t="shared" si="15"/>
        <v>742848.17454545433</v>
      </c>
      <c r="I178" s="20">
        <f t="shared" si="15"/>
        <v>921247.83000000007</v>
      </c>
      <c r="J178" s="20">
        <f t="shared" si="15"/>
        <v>737856.69</v>
      </c>
      <c r="K178" s="244"/>
      <c r="N178"/>
      <c r="O178"/>
    </row>
    <row r="179" spans="1:15" s="7" customFormat="1" x14ac:dyDescent="0.25">
      <c r="A179" s="16" t="s">
        <v>2</v>
      </c>
      <c r="B179" s="16" t="s">
        <v>2</v>
      </c>
      <c r="C179" s="16" t="s">
        <v>2</v>
      </c>
      <c r="D179" s="16" t="s">
        <v>2</v>
      </c>
      <c r="E179" s="16"/>
      <c r="F179" s="16"/>
      <c r="G179" s="16"/>
      <c r="H179" s="16"/>
      <c r="I179" s="16" t="s">
        <v>2</v>
      </c>
      <c r="J179" s="16" t="s">
        <v>2</v>
      </c>
      <c r="K179" s="244"/>
      <c r="N179"/>
      <c r="O179"/>
    </row>
    <row r="180" spans="1:15" s="7" customFormat="1" x14ac:dyDescent="0.25">
      <c r="A180" s="16" t="s">
        <v>2317</v>
      </c>
      <c r="B180" s="16" t="s">
        <v>2</v>
      </c>
      <c r="C180" s="17"/>
      <c r="D180" s="17"/>
      <c r="E180" s="17"/>
      <c r="F180" s="17"/>
      <c r="G180" s="17"/>
      <c r="H180" s="17"/>
      <c r="I180" s="17"/>
      <c r="J180" s="17"/>
      <c r="K180" s="244"/>
      <c r="N180"/>
      <c r="O180"/>
    </row>
    <row r="181" spans="1:15" s="7" customFormat="1" x14ac:dyDescent="0.25">
      <c r="A181" s="18" t="s">
        <v>2318</v>
      </c>
      <c r="B181" s="18" t="s">
        <v>2319</v>
      </c>
      <c r="C181" s="19">
        <v>290.64</v>
      </c>
      <c r="D181" s="19">
        <v>98.24</v>
      </c>
      <c r="E181" s="19">
        <v>171.92</v>
      </c>
      <c r="F181" s="19">
        <v>171.92</v>
      </c>
      <c r="G181" s="19">
        <v>171.92</v>
      </c>
      <c r="H181" s="19">
        <f>G181/11*12</f>
        <v>187.54909090909089</v>
      </c>
      <c r="I181" s="19">
        <v>200</v>
      </c>
      <c r="J181" s="19">
        <v>200</v>
      </c>
      <c r="K181" s="244"/>
      <c r="N181"/>
      <c r="O181"/>
    </row>
    <row r="182" spans="1:15" s="7" customFormat="1" x14ac:dyDescent="0.25">
      <c r="A182" s="18" t="s">
        <v>2320</v>
      </c>
      <c r="B182" s="18" t="s">
        <v>2321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  <c r="H182" s="19">
        <f t="shared" ref="H182:H221" si="16">G182/11*12</f>
        <v>0</v>
      </c>
      <c r="I182" s="19">
        <v>0</v>
      </c>
      <c r="J182" s="19">
        <v>0</v>
      </c>
      <c r="K182" s="244"/>
      <c r="N182"/>
      <c r="O182"/>
    </row>
    <row r="183" spans="1:15" s="7" customFormat="1" x14ac:dyDescent="0.25">
      <c r="A183" s="18" t="s">
        <v>2322</v>
      </c>
      <c r="B183" s="18" t="s">
        <v>2323</v>
      </c>
      <c r="C183" s="19">
        <v>50.65</v>
      </c>
      <c r="D183" s="19">
        <v>0</v>
      </c>
      <c r="E183" s="19">
        <v>0</v>
      </c>
      <c r="F183" s="19">
        <v>0</v>
      </c>
      <c r="G183" s="19">
        <v>0</v>
      </c>
      <c r="H183" s="19">
        <f t="shared" si="16"/>
        <v>0</v>
      </c>
      <c r="I183" s="19">
        <v>0</v>
      </c>
      <c r="J183" s="19">
        <v>0</v>
      </c>
      <c r="K183" s="244"/>
      <c r="N183"/>
      <c r="O183"/>
    </row>
    <row r="184" spans="1:15" s="7" customFormat="1" x14ac:dyDescent="0.25">
      <c r="A184" s="18" t="s">
        <v>2324</v>
      </c>
      <c r="B184" s="18" t="s">
        <v>2325</v>
      </c>
      <c r="C184" s="19">
        <v>8420.3799999999992</v>
      </c>
      <c r="D184" s="19">
        <v>1352.2</v>
      </c>
      <c r="E184" s="19">
        <v>2747.82</v>
      </c>
      <c r="F184" s="19">
        <v>2747.82</v>
      </c>
      <c r="G184" s="19">
        <v>3368.2</v>
      </c>
      <c r="H184" s="19">
        <f t="shared" si="16"/>
        <v>3674.3999999999996</v>
      </c>
      <c r="I184" s="19">
        <v>4000</v>
      </c>
      <c r="J184" s="19">
        <v>3000</v>
      </c>
      <c r="K184" s="244"/>
      <c r="N184"/>
      <c r="O184"/>
    </row>
    <row r="185" spans="1:15" s="7" customFormat="1" x14ac:dyDescent="0.25">
      <c r="A185" s="18" t="s">
        <v>2326</v>
      </c>
      <c r="B185" s="18" t="s">
        <v>2327</v>
      </c>
      <c r="C185" s="19">
        <v>2753.02</v>
      </c>
      <c r="D185" s="19">
        <v>690.22</v>
      </c>
      <c r="E185" s="19">
        <v>1193.68</v>
      </c>
      <c r="F185" s="19">
        <v>1193.68</v>
      </c>
      <c r="G185" s="19">
        <v>1361.08</v>
      </c>
      <c r="H185" s="19">
        <f t="shared" si="16"/>
        <v>1484.8145454545454</v>
      </c>
      <c r="I185" s="19">
        <v>3000</v>
      </c>
      <c r="J185" s="19">
        <v>1500</v>
      </c>
      <c r="K185" s="244"/>
      <c r="N185"/>
      <c r="O185"/>
    </row>
    <row r="186" spans="1:15" s="7" customFormat="1" x14ac:dyDescent="0.25">
      <c r="A186" s="18" t="s">
        <v>2328</v>
      </c>
      <c r="B186" s="18" t="s">
        <v>2329</v>
      </c>
      <c r="C186" s="19">
        <v>46793.77</v>
      </c>
      <c r="D186" s="19">
        <v>10670.51</v>
      </c>
      <c r="E186" s="19">
        <v>18090.099999999999</v>
      </c>
      <c r="F186" s="19">
        <v>18090.099999999999</v>
      </c>
      <c r="G186" s="19">
        <v>20679.580000000002</v>
      </c>
      <c r="H186" s="19">
        <f t="shared" si="16"/>
        <v>22559.54181818182</v>
      </c>
      <c r="I186" s="19">
        <v>30000</v>
      </c>
      <c r="J186" s="19">
        <v>25000</v>
      </c>
      <c r="K186" s="244"/>
      <c r="N186"/>
      <c r="O186"/>
    </row>
    <row r="187" spans="1:15" s="7" customFormat="1" x14ac:dyDescent="0.25">
      <c r="A187" s="18" t="s">
        <v>2330</v>
      </c>
      <c r="B187" s="18" t="s">
        <v>2331</v>
      </c>
      <c r="C187" s="19">
        <v>8.01</v>
      </c>
      <c r="D187" s="19">
        <v>0</v>
      </c>
      <c r="E187" s="19">
        <v>0</v>
      </c>
      <c r="F187" s="19">
        <v>0</v>
      </c>
      <c r="G187" s="19">
        <v>0</v>
      </c>
      <c r="H187" s="19">
        <f t="shared" si="16"/>
        <v>0</v>
      </c>
      <c r="I187" s="19">
        <v>0</v>
      </c>
      <c r="J187" s="19">
        <v>0</v>
      </c>
      <c r="K187" s="244"/>
      <c r="N187"/>
      <c r="O187"/>
    </row>
    <row r="188" spans="1:15" s="7" customFormat="1" x14ac:dyDescent="0.25">
      <c r="A188" s="18" t="s">
        <v>2332</v>
      </c>
      <c r="B188" s="18" t="s">
        <v>2333</v>
      </c>
      <c r="C188" s="19">
        <v>0</v>
      </c>
      <c r="D188" s="19">
        <v>0</v>
      </c>
      <c r="E188" s="19">
        <v>0</v>
      </c>
      <c r="F188" s="19">
        <v>0</v>
      </c>
      <c r="G188" s="19">
        <v>0</v>
      </c>
      <c r="H188" s="19">
        <f t="shared" si="16"/>
        <v>0</v>
      </c>
      <c r="I188" s="19">
        <v>0</v>
      </c>
      <c r="J188" s="19">
        <v>0</v>
      </c>
      <c r="K188" s="244"/>
      <c r="N188"/>
      <c r="O188"/>
    </row>
    <row r="189" spans="1:15" s="7" customFormat="1" x14ac:dyDescent="0.25">
      <c r="A189" s="18" t="s">
        <v>2334</v>
      </c>
      <c r="B189" s="18" t="s">
        <v>2335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  <c r="H189" s="19">
        <f t="shared" si="16"/>
        <v>0</v>
      </c>
      <c r="I189" s="19">
        <v>0</v>
      </c>
      <c r="J189" s="19">
        <v>0</v>
      </c>
      <c r="K189" s="244"/>
      <c r="N189"/>
      <c r="O189"/>
    </row>
    <row r="190" spans="1:15" s="7" customFormat="1" x14ac:dyDescent="0.25">
      <c r="A190" s="18" t="s">
        <v>2336</v>
      </c>
      <c r="B190" s="18" t="s">
        <v>2337</v>
      </c>
      <c r="C190" s="19">
        <v>4306.88</v>
      </c>
      <c r="D190" s="19">
        <v>2003</v>
      </c>
      <c r="E190" s="19">
        <v>3564</v>
      </c>
      <c r="F190" s="19">
        <v>3564</v>
      </c>
      <c r="G190" s="19">
        <v>3872</v>
      </c>
      <c r="H190" s="19">
        <f t="shared" si="16"/>
        <v>4224</v>
      </c>
      <c r="I190" s="19">
        <v>3000</v>
      </c>
      <c r="J190" s="19">
        <v>4000</v>
      </c>
      <c r="K190" s="244"/>
      <c r="N190"/>
      <c r="O190"/>
    </row>
    <row r="191" spans="1:15" s="7" customFormat="1" x14ac:dyDescent="0.25">
      <c r="A191" s="18" t="s">
        <v>2338</v>
      </c>
      <c r="B191" s="18" t="s">
        <v>2339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  <c r="H191" s="19">
        <f t="shared" si="16"/>
        <v>0</v>
      </c>
      <c r="I191" s="19">
        <v>0</v>
      </c>
      <c r="J191" s="19">
        <v>0</v>
      </c>
      <c r="K191" s="244"/>
      <c r="N191"/>
      <c r="O191"/>
    </row>
    <row r="192" spans="1:15" s="7" customFormat="1" x14ac:dyDescent="0.25">
      <c r="A192" s="18" t="s">
        <v>2340</v>
      </c>
      <c r="B192" s="18" t="s">
        <v>2339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  <c r="H192" s="19">
        <f t="shared" si="16"/>
        <v>0</v>
      </c>
      <c r="I192" s="19">
        <v>0</v>
      </c>
      <c r="J192" s="19">
        <v>0</v>
      </c>
      <c r="K192" s="244"/>
      <c r="N192"/>
      <c r="O192"/>
    </row>
    <row r="193" spans="1:15" s="7" customFormat="1" x14ac:dyDescent="0.25">
      <c r="A193" s="18" t="s">
        <v>2341</v>
      </c>
      <c r="B193" s="18" t="s">
        <v>2342</v>
      </c>
      <c r="C193" s="19">
        <v>106.89</v>
      </c>
      <c r="D193" s="19">
        <v>0</v>
      </c>
      <c r="E193" s="19">
        <v>1.65</v>
      </c>
      <c r="F193" s="19">
        <v>1.65</v>
      </c>
      <c r="G193" s="19">
        <v>1.65</v>
      </c>
      <c r="H193" s="19">
        <f t="shared" si="16"/>
        <v>1.7999999999999998</v>
      </c>
      <c r="I193" s="19">
        <v>0</v>
      </c>
      <c r="J193" s="19">
        <v>0</v>
      </c>
      <c r="K193" s="244"/>
      <c r="N193"/>
      <c r="O193"/>
    </row>
    <row r="194" spans="1:15" s="7" customFormat="1" x14ac:dyDescent="0.25">
      <c r="A194" s="18" t="s">
        <v>2343</v>
      </c>
      <c r="B194" s="18" t="s">
        <v>2344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  <c r="H194" s="19">
        <f t="shared" si="16"/>
        <v>0</v>
      </c>
      <c r="I194" s="19">
        <v>0</v>
      </c>
      <c r="J194" s="19">
        <v>0</v>
      </c>
      <c r="K194" s="244"/>
      <c r="N194"/>
      <c r="O194"/>
    </row>
    <row r="195" spans="1:15" s="7" customFormat="1" x14ac:dyDescent="0.25">
      <c r="A195" s="18" t="s">
        <v>2345</v>
      </c>
      <c r="B195" s="18" t="s">
        <v>2346</v>
      </c>
      <c r="C195" s="19">
        <v>250.02</v>
      </c>
      <c r="D195" s="19">
        <v>250.02</v>
      </c>
      <c r="E195" s="19">
        <v>250.02</v>
      </c>
      <c r="F195" s="19">
        <v>250.02</v>
      </c>
      <c r="G195" s="19">
        <v>250.02</v>
      </c>
      <c r="H195" s="19">
        <f t="shared" si="16"/>
        <v>272.74909090909091</v>
      </c>
      <c r="I195" s="19">
        <v>100</v>
      </c>
      <c r="J195" s="19">
        <v>250</v>
      </c>
      <c r="K195" s="244"/>
      <c r="N195"/>
      <c r="O195"/>
    </row>
    <row r="196" spans="1:15" s="7" customFormat="1" x14ac:dyDescent="0.25">
      <c r="A196" s="18" t="s">
        <v>2347</v>
      </c>
      <c r="B196" s="18" t="s">
        <v>2348</v>
      </c>
      <c r="C196" s="19">
        <v>1554.65</v>
      </c>
      <c r="D196" s="19">
        <v>992.1</v>
      </c>
      <c r="E196" s="19">
        <v>1925.83</v>
      </c>
      <c r="F196" s="19">
        <v>1925.83</v>
      </c>
      <c r="G196" s="19">
        <v>2134.4699999999998</v>
      </c>
      <c r="H196" s="19">
        <f t="shared" si="16"/>
        <v>2328.5127272727273</v>
      </c>
      <c r="I196" s="19">
        <v>1000</v>
      </c>
      <c r="J196" s="19">
        <v>2000</v>
      </c>
      <c r="K196" s="244"/>
      <c r="N196"/>
      <c r="O196"/>
    </row>
    <row r="197" spans="1:15" s="7" customFormat="1" x14ac:dyDescent="0.25">
      <c r="A197" s="18" t="s">
        <v>2349</v>
      </c>
      <c r="B197" s="18" t="s">
        <v>2350</v>
      </c>
      <c r="C197" s="19">
        <v>108.38</v>
      </c>
      <c r="D197" s="19">
        <v>93.52</v>
      </c>
      <c r="E197" s="19">
        <v>166.99</v>
      </c>
      <c r="F197" s="19">
        <v>166.99</v>
      </c>
      <c r="G197" s="19">
        <v>179.32</v>
      </c>
      <c r="H197" s="19">
        <f t="shared" si="16"/>
        <v>195.62181818181818</v>
      </c>
      <c r="I197" s="19">
        <v>0</v>
      </c>
      <c r="J197" s="19">
        <v>200</v>
      </c>
      <c r="K197" s="244"/>
      <c r="N197"/>
      <c r="O197"/>
    </row>
    <row r="198" spans="1:15" s="7" customFormat="1" x14ac:dyDescent="0.25">
      <c r="A198" s="18" t="s">
        <v>2351</v>
      </c>
      <c r="B198" s="18" t="s">
        <v>2352</v>
      </c>
      <c r="C198" s="19">
        <v>182.35</v>
      </c>
      <c r="D198" s="19">
        <v>144.24</v>
      </c>
      <c r="E198" s="19">
        <v>204.55</v>
      </c>
      <c r="F198" s="19">
        <v>204.55</v>
      </c>
      <c r="G198" s="19">
        <v>217.22</v>
      </c>
      <c r="H198" s="19">
        <f t="shared" si="16"/>
        <v>236.9672727272727</v>
      </c>
      <c r="I198" s="19">
        <v>0</v>
      </c>
      <c r="J198" s="19">
        <v>200</v>
      </c>
      <c r="K198" s="244"/>
      <c r="N198"/>
      <c r="O198"/>
    </row>
    <row r="199" spans="1:15" s="7" customFormat="1" x14ac:dyDescent="0.25">
      <c r="A199" s="18" t="s">
        <v>2353</v>
      </c>
      <c r="B199" s="18" t="s">
        <v>2354</v>
      </c>
      <c r="C199" s="19">
        <v>31272.7</v>
      </c>
      <c r="D199" s="19">
        <v>11687.81</v>
      </c>
      <c r="E199" s="19">
        <v>19748.330000000002</v>
      </c>
      <c r="F199" s="19">
        <v>19748.330000000002</v>
      </c>
      <c r="G199" s="19">
        <v>21668.76</v>
      </c>
      <c r="H199" s="19">
        <f t="shared" si="16"/>
        <v>23638.64727272727</v>
      </c>
      <c r="I199" s="19">
        <v>18000</v>
      </c>
      <c r="J199" s="19">
        <v>20000</v>
      </c>
      <c r="K199" s="244"/>
      <c r="N199"/>
      <c r="O199"/>
    </row>
    <row r="200" spans="1:15" s="7" customFormat="1" x14ac:dyDescent="0.25">
      <c r="A200" s="18" t="s">
        <v>2355</v>
      </c>
      <c r="B200" s="18" t="s">
        <v>2356</v>
      </c>
      <c r="C200" s="19">
        <v>1710.26</v>
      </c>
      <c r="D200" s="19">
        <v>532.48</v>
      </c>
      <c r="E200" s="19">
        <v>883.92</v>
      </c>
      <c r="F200" s="19">
        <v>883.92</v>
      </c>
      <c r="G200" s="19">
        <v>979.73</v>
      </c>
      <c r="H200" s="19">
        <f t="shared" si="16"/>
        <v>1068.7963636363636</v>
      </c>
      <c r="I200" s="19">
        <v>1000</v>
      </c>
      <c r="J200" s="19">
        <v>1000</v>
      </c>
      <c r="K200" s="244"/>
      <c r="N200"/>
      <c r="O200"/>
    </row>
    <row r="201" spans="1:15" s="7" customFormat="1" x14ac:dyDescent="0.25">
      <c r="A201" s="18" t="s">
        <v>2357</v>
      </c>
      <c r="B201" s="18" t="s">
        <v>2358</v>
      </c>
      <c r="C201" s="19">
        <v>0</v>
      </c>
      <c r="D201" s="19">
        <v>0</v>
      </c>
      <c r="E201" s="19">
        <v>0</v>
      </c>
      <c r="F201" s="19">
        <v>0</v>
      </c>
      <c r="G201" s="19">
        <v>0</v>
      </c>
      <c r="H201" s="19">
        <f t="shared" si="16"/>
        <v>0</v>
      </c>
      <c r="I201" s="19">
        <v>0</v>
      </c>
      <c r="J201" s="19">
        <v>0</v>
      </c>
      <c r="K201" s="244"/>
      <c r="N201"/>
      <c r="O201"/>
    </row>
    <row r="202" spans="1:15" s="7" customFormat="1" x14ac:dyDescent="0.25">
      <c r="A202" s="18" t="s">
        <v>2359</v>
      </c>
      <c r="B202" s="18" t="s">
        <v>2360</v>
      </c>
      <c r="C202" s="19">
        <v>8126.97</v>
      </c>
      <c r="D202" s="19">
        <v>2246.91</v>
      </c>
      <c r="E202" s="19">
        <v>4206.43</v>
      </c>
      <c r="F202" s="19">
        <v>4206.43</v>
      </c>
      <c r="G202" s="19">
        <v>4584.3500000000004</v>
      </c>
      <c r="H202" s="19">
        <f t="shared" si="16"/>
        <v>5001.1090909090917</v>
      </c>
      <c r="I202" s="19">
        <v>7000</v>
      </c>
      <c r="J202" s="19">
        <v>6000</v>
      </c>
      <c r="K202" s="244"/>
      <c r="N202"/>
      <c r="O202"/>
    </row>
    <row r="203" spans="1:15" s="7" customFormat="1" x14ac:dyDescent="0.25">
      <c r="A203" s="18" t="s">
        <v>2361</v>
      </c>
      <c r="B203" s="18" t="s">
        <v>2362</v>
      </c>
      <c r="C203" s="19">
        <v>365.29</v>
      </c>
      <c r="D203" s="19">
        <v>74</v>
      </c>
      <c r="E203" s="19">
        <v>108.17</v>
      </c>
      <c r="F203" s="19">
        <v>108.17</v>
      </c>
      <c r="G203" s="19">
        <v>112.03</v>
      </c>
      <c r="H203" s="19">
        <f t="shared" si="16"/>
        <v>122.21454545454546</v>
      </c>
      <c r="I203" s="19">
        <v>200</v>
      </c>
      <c r="J203" s="19">
        <v>200</v>
      </c>
      <c r="K203" s="244"/>
      <c r="N203"/>
      <c r="O203"/>
    </row>
    <row r="204" spans="1:15" s="7" customFormat="1" x14ac:dyDescent="0.25">
      <c r="A204" s="18" t="s">
        <v>2363</v>
      </c>
      <c r="B204" s="18" t="s">
        <v>2364</v>
      </c>
      <c r="C204" s="19">
        <v>268.13</v>
      </c>
      <c r="D204" s="19">
        <v>112.23</v>
      </c>
      <c r="E204" s="19">
        <v>233.26</v>
      </c>
      <c r="F204" s="19">
        <v>233.26</v>
      </c>
      <c r="G204" s="19">
        <v>250.63</v>
      </c>
      <c r="H204" s="19">
        <f t="shared" si="16"/>
        <v>273.41454545454548</v>
      </c>
      <c r="I204" s="19">
        <v>100</v>
      </c>
      <c r="J204" s="19">
        <v>100</v>
      </c>
      <c r="K204" s="244"/>
      <c r="N204"/>
      <c r="O204"/>
    </row>
    <row r="205" spans="1:15" s="7" customFormat="1" x14ac:dyDescent="0.25">
      <c r="A205" s="18" t="s">
        <v>2365</v>
      </c>
      <c r="B205" s="18" t="s">
        <v>2366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  <c r="H205" s="19">
        <f t="shared" si="16"/>
        <v>0</v>
      </c>
      <c r="I205" s="19">
        <v>0</v>
      </c>
      <c r="J205" s="19">
        <v>0</v>
      </c>
      <c r="K205" s="244"/>
      <c r="N205"/>
      <c r="O205"/>
    </row>
    <row r="206" spans="1:15" s="7" customFormat="1" x14ac:dyDescent="0.25">
      <c r="A206" s="18" t="s">
        <v>2367</v>
      </c>
      <c r="B206" s="18" t="s">
        <v>2368</v>
      </c>
      <c r="C206" s="19">
        <v>12.36</v>
      </c>
      <c r="D206" s="19">
        <v>0</v>
      </c>
      <c r="E206" s="19">
        <v>0</v>
      </c>
      <c r="F206" s="19">
        <v>0</v>
      </c>
      <c r="G206" s="19">
        <v>0</v>
      </c>
      <c r="H206" s="19">
        <f t="shared" si="16"/>
        <v>0</v>
      </c>
      <c r="I206" s="19">
        <v>0</v>
      </c>
      <c r="J206" s="19">
        <v>0</v>
      </c>
      <c r="K206" s="244"/>
      <c r="N206"/>
      <c r="O206"/>
    </row>
    <row r="207" spans="1:15" s="7" customFormat="1" x14ac:dyDescent="0.25">
      <c r="A207" s="18" t="s">
        <v>2369</v>
      </c>
      <c r="B207" s="18" t="s">
        <v>2370</v>
      </c>
      <c r="C207" s="19">
        <v>9895.59</v>
      </c>
      <c r="D207" s="19">
        <v>3326.22</v>
      </c>
      <c r="E207" s="19">
        <v>5824.78</v>
      </c>
      <c r="F207" s="19">
        <v>5824.78</v>
      </c>
      <c r="G207" s="19">
        <v>6586.64</v>
      </c>
      <c r="H207" s="19">
        <f t="shared" si="16"/>
        <v>7185.4254545454551</v>
      </c>
      <c r="I207" s="19">
        <v>6000</v>
      </c>
      <c r="J207" s="19">
        <v>6500</v>
      </c>
      <c r="K207" s="244"/>
      <c r="N207"/>
      <c r="O207"/>
    </row>
    <row r="208" spans="1:15" s="7" customFormat="1" x14ac:dyDescent="0.25">
      <c r="A208" s="18" t="s">
        <v>2371</v>
      </c>
      <c r="B208" s="18" t="s">
        <v>2372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  <c r="H208" s="19">
        <f t="shared" si="16"/>
        <v>0</v>
      </c>
      <c r="I208" s="19">
        <v>0</v>
      </c>
      <c r="J208" s="19">
        <v>0</v>
      </c>
      <c r="K208" s="244"/>
      <c r="N208"/>
      <c r="O208"/>
    </row>
    <row r="209" spans="1:15" s="7" customFormat="1" x14ac:dyDescent="0.25">
      <c r="A209" s="18" t="s">
        <v>2373</v>
      </c>
      <c r="B209" s="18" t="s">
        <v>2374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  <c r="H209" s="19">
        <f t="shared" si="16"/>
        <v>0</v>
      </c>
      <c r="I209" s="19">
        <v>0</v>
      </c>
      <c r="J209" s="19">
        <v>0</v>
      </c>
      <c r="K209" s="244"/>
      <c r="N209"/>
      <c r="O209"/>
    </row>
    <row r="210" spans="1:15" s="7" customFormat="1" x14ac:dyDescent="0.25">
      <c r="A210" s="18" t="s">
        <v>2375</v>
      </c>
      <c r="B210" s="18" t="s">
        <v>2376</v>
      </c>
      <c r="C210" s="19">
        <v>129.6</v>
      </c>
      <c r="D210" s="19">
        <v>-55.27</v>
      </c>
      <c r="E210" s="19">
        <v>-106.3</v>
      </c>
      <c r="F210" s="19">
        <v>-106.3</v>
      </c>
      <c r="G210" s="19">
        <v>-88.45</v>
      </c>
      <c r="H210" s="19">
        <f t="shared" si="16"/>
        <v>-96.490909090909099</v>
      </c>
      <c r="I210" s="19">
        <v>0</v>
      </c>
      <c r="J210" s="19">
        <v>0</v>
      </c>
      <c r="K210" s="244"/>
      <c r="N210"/>
      <c r="O210"/>
    </row>
    <row r="211" spans="1:15" s="7" customFormat="1" x14ac:dyDescent="0.25">
      <c r="A211" s="18" t="s">
        <v>2377</v>
      </c>
      <c r="B211" s="18" t="s">
        <v>2378</v>
      </c>
      <c r="C211" s="19">
        <v>131.53</v>
      </c>
      <c r="D211" s="19">
        <v>35.43</v>
      </c>
      <c r="E211" s="19">
        <v>54.22</v>
      </c>
      <c r="F211" s="19">
        <v>54.22</v>
      </c>
      <c r="G211" s="19">
        <v>54.77</v>
      </c>
      <c r="H211" s="19">
        <f t="shared" si="16"/>
        <v>59.74909090909091</v>
      </c>
      <c r="I211" s="19">
        <v>0</v>
      </c>
      <c r="J211" s="19">
        <v>0</v>
      </c>
      <c r="K211" s="244"/>
      <c r="N211"/>
      <c r="O211"/>
    </row>
    <row r="212" spans="1:15" s="7" customFormat="1" x14ac:dyDescent="0.25">
      <c r="A212" s="18" t="s">
        <v>2379</v>
      </c>
      <c r="B212" s="18" t="s">
        <v>2380</v>
      </c>
      <c r="C212" s="19">
        <v>278.8</v>
      </c>
      <c r="D212" s="19">
        <v>48.68</v>
      </c>
      <c r="E212" s="19">
        <v>104.5</v>
      </c>
      <c r="F212" s="19">
        <v>104.5</v>
      </c>
      <c r="G212" s="19">
        <v>124.72</v>
      </c>
      <c r="H212" s="19">
        <f t="shared" si="16"/>
        <v>136.05818181818182</v>
      </c>
      <c r="I212" s="19">
        <v>0</v>
      </c>
      <c r="J212" s="19">
        <v>0</v>
      </c>
      <c r="K212" s="244"/>
      <c r="N212"/>
      <c r="O212"/>
    </row>
    <row r="213" spans="1:15" s="7" customFormat="1" x14ac:dyDescent="0.25">
      <c r="A213" s="18" t="s">
        <v>2381</v>
      </c>
      <c r="B213" s="18" t="s">
        <v>2382</v>
      </c>
      <c r="C213" s="19">
        <v>804</v>
      </c>
      <c r="D213" s="19">
        <v>136.80000000000001</v>
      </c>
      <c r="E213" s="19">
        <v>244.35</v>
      </c>
      <c r="F213" s="19">
        <v>244.35</v>
      </c>
      <c r="G213" s="19">
        <v>281.33</v>
      </c>
      <c r="H213" s="19">
        <f t="shared" si="16"/>
        <v>306.90545454545452</v>
      </c>
      <c r="I213" s="19">
        <v>0</v>
      </c>
      <c r="J213" s="19">
        <v>0</v>
      </c>
      <c r="K213" s="244"/>
      <c r="N213"/>
      <c r="O213"/>
    </row>
    <row r="214" spans="1:15" s="7" customFormat="1" x14ac:dyDescent="0.25">
      <c r="A214" s="18" t="s">
        <v>2383</v>
      </c>
      <c r="B214" s="18" t="s">
        <v>2384</v>
      </c>
      <c r="C214" s="19">
        <v>0</v>
      </c>
      <c r="D214" s="19">
        <v>0</v>
      </c>
      <c r="E214" s="19">
        <v>0</v>
      </c>
      <c r="F214" s="19">
        <v>0</v>
      </c>
      <c r="G214" s="19">
        <v>0</v>
      </c>
      <c r="H214" s="19">
        <f t="shared" si="16"/>
        <v>0</v>
      </c>
      <c r="I214" s="19">
        <v>0</v>
      </c>
      <c r="J214" s="19">
        <v>0</v>
      </c>
      <c r="K214" s="244"/>
      <c r="N214"/>
      <c r="O214"/>
    </row>
    <row r="215" spans="1:15" s="7" customFormat="1" x14ac:dyDescent="0.25">
      <c r="A215" s="18" t="s">
        <v>2385</v>
      </c>
      <c r="B215" s="18" t="s">
        <v>2386</v>
      </c>
      <c r="C215" s="19">
        <v>12.16</v>
      </c>
      <c r="D215" s="19">
        <v>0</v>
      </c>
      <c r="E215" s="19">
        <v>10.68</v>
      </c>
      <c r="F215" s="19">
        <v>10.68</v>
      </c>
      <c r="G215" s="19">
        <v>10.68</v>
      </c>
      <c r="H215" s="19">
        <f t="shared" si="16"/>
        <v>11.65090909090909</v>
      </c>
      <c r="I215" s="19">
        <v>0</v>
      </c>
      <c r="J215" s="19">
        <v>0</v>
      </c>
      <c r="K215" s="244"/>
      <c r="N215"/>
      <c r="O215"/>
    </row>
    <row r="216" spans="1:15" s="7" customFormat="1" x14ac:dyDescent="0.25">
      <c r="A216" s="18" t="s">
        <v>2387</v>
      </c>
      <c r="B216" s="18" t="s">
        <v>2388</v>
      </c>
      <c r="C216" s="19">
        <v>663.39</v>
      </c>
      <c r="D216" s="19">
        <v>235.07</v>
      </c>
      <c r="E216" s="19">
        <v>260.01</v>
      </c>
      <c r="F216" s="19">
        <v>260.01</v>
      </c>
      <c r="G216" s="19">
        <v>280.79000000000002</v>
      </c>
      <c r="H216" s="19">
        <f t="shared" si="16"/>
        <v>306.31636363636363</v>
      </c>
      <c r="I216" s="19">
        <v>0</v>
      </c>
      <c r="J216" s="19">
        <v>0</v>
      </c>
      <c r="K216" s="244"/>
      <c r="N216"/>
      <c r="O216"/>
    </row>
    <row r="217" spans="1:15" s="7" customFormat="1" x14ac:dyDescent="0.25">
      <c r="A217" s="18" t="s">
        <v>2389</v>
      </c>
      <c r="B217" s="18" t="s">
        <v>2390</v>
      </c>
      <c r="C217" s="19">
        <v>0</v>
      </c>
      <c r="D217" s="19">
        <v>123.61</v>
      </c>
      <c r="E217" s="19">
        <v>123.61</v>
      </c>
      <c r="F217" s="19">
        <v>123.61</v>
      </c>
      <c r="G217" s="19">
        <v>123.61</v>
      </c>
      <c r="H217" s="19">
        <f t="shared" si="16"/>
        <v>134.84727272727272</v>
      </c>
      <c r="I217" s="19">
        <v>0</v>
      </c>
      <c r="J217" s="19">
        <v>0</v>
      </c>
      <c r="K217" s="244"/>
      <c r="N217"/>
      <c r="O217"/>
    </row>
    <row r="218" spans="1:15" s="7" customFormat="1" x14ac:dyDescent="0.25">
      <c r="A218" s="18" t="s">
        <v>2391</v>
      </c>
      <c r="B218" s="18" t="s">
        <v>2392</v>
      </c>
      <c r="C218" s="19">
        <v>0</v>
      </c>
      <c r="D218" s="19">
        <v>0</v>
      </c>
      <c r="E218" s="19">
        <v>0</v>
      </c>
      <c r="F218" s="19">
        <v>0</v>
      </c>
      <c r="G218" s="19">
        <v>0</v>
      </c>
      <c r="H218" s="19">
        <f t="shared" si="16"/>
        <v>0</v>
      </c>
      <c r="I218" s="19">
        <v>0</v>
      </c>
      <c r="J218" s="19">
        <v>0</v>
      </c>
      <c r="K218" s="244"/>
      <c r="N218"/>
      <c r="O218"/>
    </row>
    <row r="219" spans="1:15" s="7" customFormat="1" x14ac:dyDescent="0.25">
      <c r="A219" s="18" t="s">
        <v>2393</v>
      </c>
      <c r="B219" s="18" t="s">
        <v>2394</v>
      </c>
      <c r="C219" s="19">
        <v>59.61</v>
      </c>
      <c r="D219" s="19">
        <v>0</v>
      </c>
      <c r="E219" s="19">
        <v>0</v>
      </c>
      <c r="F219" s="19">
        <v>640</v>
      </c>
      <c r="G219" s="19">
        <v>0</v>
      </c>
      <c r="H219" s="19">
        <f t="shared" si="16"/>
        <v>0</v>
      </c>
      <c r="I219" s="19">
        <v>0</v>
      </c>
      <c r="J219" s="19">
        <v>0</v>
      </c>
      <c r="K219" s="244"/>
      <c r="N219"/>
      <c r="O219"/>
    </row>
    <row r="220" spans="1:15" s="7" customFormat="1" x14ac:dyDescent="0.25">
      <c r="A220" s="18" t="s">
        <v>2395</v>
      </c>
      <c r="B220" s="18" t="s">
        <v>2396</v>
      </c>
      <c r="C220" s="19">
        <v>248</v>
      </c>
      <c r="D220" s="19">
        <v>640</v>
      </c>
      <c r="E220" s="19">
        <v>640</v>
      </c>
      <c r="F220" s="19">
        <v>68.84</v>
      </c>
      <c r="G220" s="19">
        <v>970</v>
      </c>
      <c r="H220" s="19">
        <f t="shared" si="16"/>
        <v>1058.1818181818182</v>
      </c>
      <c r="I220" s="19">
        <v>0</v>
      </c>
      <c r="J220" s="19">
        <v>0</v>
      </c>
      <c r="K220" s="244"/>
      <c r="N220"/>
      <c r="O220"/>
    </row>
    <row r="221" spans="1:15" s="7" customFormat="1" x14ac:dyDescent="0.25">
      <c r="A221" s="18" t="s">
        <v>2397</v>
      </c>
      <c r="B221" s="18" t="s">
        <v>2398</v>
      </c>
      <c r="C221" s="19">
        <v>1151.8900000000001</v>
      </c>
      <c r="D221" s="19">
        <v>68.84</v>
      </c>
      <c r="E221" s="19">
        <v>68.84</v>
      </c>
      <c r="F221" s="19">
        <v>0</v>
      </c>
      <c r="G221" s="19">
        <v>92.85</v>
      </c>
      <c r="H221" s="19">
        <f t="shared" si="16"/>
        <v>101.29090909090908</v>
      </c>
      <c r="I221" s="19">
        <v>0</v>
      </c>
      <c r="J221" s="19">
        <v>0</v>
      </c>
      <c r="K221" s="244"/>
      <c r="N221"/>
      <c r="O221"/>
    </row>
    <row r="222" spans="1:15" s="7" customFormat="1" x14ac:dyDescent="0.25">
      <c r="A222" s="23" t="s">
        <v>2545</v>
      </c>
      <c r="B222" s="16" t="s">
        <v>2</v>
      </c>
      <c r="C222" s="20">
        <v>119955.92</v>
      </c>
      <c r="D222" s="20">
        <v>35506.86</v>
      </c>
      <c r="E222" s="20">
        <f t="shared" ref="E222:J222" si="17">SUM(E181:E221)</f>
        <v>60721.359999999993</v>
      </c>
      <c r="F222" s="20">
        <f t="shared" si="17"/>
        <v>60721.359999999993</v>
      </c>
      <c r="G222" s="20">
        <f t="shared" si="17"/>
        <v>68267.900000000009</v>
      </c>
      <c r="H222" s="20">
        <f t="shared" si="17"/>
        <v>74474.072727272738</v>
      </c>
      <c r="I222" s="20">
        <f t="shared" si="17"/>
        <v>73600</v>
      </c>
      <c r="J222" s="20">
        <f t="shared" si="17"/>
        <v>70150</v>
      </c>
      <c r="K222" s="244"/>
      <c r="N222"/>
      <c r="O222"/>
    </row>
    <row r="223" spans="1:15" s="7" customFormat="1" x14ac:dyDescent="0.25">
      <c r="A223" s="16" t="s">
        <v>2</v>
      </c>
      <c r="B223" s="16" t="s">
        <v>2</v>
      </c>
      <c r="C223" s="16" t="s">
        <v>2</v>
      </c>
      <c r="D223" s="16" t="s">
        <v>2</v>
      </c>
      <c r="E223" s="16"/>
      <c r="F223" s="16"/>
      <c r="G223" s="16"/>
      <c r="H223" s="16"/>
      <c r="I223" s="16" t="s">
        <v>2</v>
      </c>
      <c r="J223" s="16" t="s">
        <v>2</v>
      </c>
      <c r="K223" s="244"/>
      <c r="N223"/>
      <c r="O223"/>
    </row>
    <row r="224" spans="1:15" s="7" customFormat="1" x14ac:dyDescent="0.25">
      <c r="A224" s="16" t="s">
        <v>2399</v>
      </c>
      <c r="B224" s="16" t="s">
        <v>2</v>
      </c>
      <c r="C224" s="17"/>
      <c r="D224" s="17"/>
      <c r="E224" s="17"/>
      <c r="F224" s="17"/>
      <c r="G224" s="17"/>
      <c r="H224" s="17"/>
      <c r="I224" s="17"/>
      <c r="J224" s="17"/>
      <c r="K224" s="244"/>
      <c r="N224"/>
      <c r="O224"/>
    </row>
    <row r="225" spans="1:15" s="7" customFormat="1" x14ac:dyDescent="0.25">
      <c r="A225" s="18" t="s">
        <v>2400</v>
      </c>
      <c r="B225" s="18" t="s">
        <v>2401</v>
      </c>
      <c r="C225" s="19">
        <v>7859.7</v>
      </c>
      <c r="D225" s="19">
        <v>3998.81</v>
      </c>
      <c r="E225" s="19">
        <v>5961.22</v>
      </c>
      <c r="F225" s="19">
        <v>5961.22</v>
      </c>
      <c r="G225" s="19">
        <v>7856.81</v>
      </c>
      <c r="H225" s="19">
        <f>G225/11*12</f>
        <v>8571.0654545454545</v>
      </c>
      <c r="I225" s="19">
        <v>8500</v>
      </c>
      <c r="J225" s="19">
        <v>8000</v>
      </c>
      <c r="K225" s="244"/>
      <c r="N225"/>
      <c r="O225"/>
    </row>
    <row r="226" spans="1:15" s="7" customFormat="1" x14ac:dyDescent="0.25">
      <c r="A226" s="18" t="s">
        <v>2402</v>
      </c>
      <c r="B226" s="18" t="s">
        <v>2403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  <c r="H226" s="19">
        <f t="shared" ref="H226:H281" si="18">G226/11*12</f>
        <v>0</v>
      </c>
      <c r="I226" s="19">
        <v>0</v>
      </c>
      <c r="J226" s="19">
        <v>0</v>
      </c>
      <c r="K226" s="244"/>
      <c r="N226"/>
      <c r="O226"/>
    </row>
    <row r="227" spans="1:15" s="7" customFormat="1" x14ac:dyDescent="0.25">
      <c r="A227" s="18" t="s">
        <v>2404</v>
      </c>
      <c r="B227" s="18" t="s">
        <v>2405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  <c r="H227" s="19">
        <f t="shared" si="18"/>
        <v>0</v>
      </c>
      <c r="I227" s="19">
        <v>0</v>
      </c>
      <c r="J227" s="19">
        <v>0</v>
      </c>
      <c r="K227" s="244"/>
      <c r="N227"/>
      <c r="O227"/>
    </row>
    <row r="228" spans="1:15" s="7" customFormat="1" x14ac:dyDescent="0.25">
      <c r="A228" s="18" t="s">
        <v>2406</v>
      </c>
      <c r="B228" s="18" t="s">
        <v>2407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f t="shared" si="18"/>
        <v>0</v>
      </c>
      <c r="I228" s="19">
        <v>0</v>
      </c>
      <c r="J228" s="19">
        <v>0</v>
      </c>
      <c r="K228" s="244"/>
      <c r="N228"/>
      <c r="O228"/>
    </row>
    <row r="229" spans="1:15" s="7" customFormat="1" x14ac:dyDescent="0.25">
      <c r="A229" s="18" t="s">
        <v>2408</v>
      </c>
      <c r="B229" s="18" t="s">
        <v>2409</v>
      </c>
      <c r="C229" s="19">
        <v>3498.35</v>
      </c>
      <c r="D229" s="19">
        <v>2823.01</v>
      </c>
      <c r="E229" s="19">
        <v>10425.959999999999</v>
      </c>
      <c r="F229" s="19">
        <v>10425.959999999999</v>
      </c>
      <c r="G229" s="19">
        <v>10426.19</v>
      </c>
      <c r="H229" s="19">
        <f t="shared" si="18"/>
        <v>11374.025454545455</v>
      </c>
      <c r="I229" s="19">
        <v>2000</v>
      </c>
      <c r="J229" s="19">
        <v>10000</v>
      </c>
      <c r="K229" s="244"/>
      <c r="N229"/>
      <c r="O229"/>
    </row>
    <row r="230" spans="1:15" s="7" customFormat="1" x14ac:dyDescent="0.25">
      <c r="A230" s="18" t="s">
        <v>2410</v>
      </c>
      <c r="B230" s="18" t="s">
        <v>2411</v>
      </c>
      <c r="C230" s="19">
        <v>25</v>
      </c>
      <c r="D230" s="19">
        <v>0</v>
      </c>
      <c r="E230" s="19">
        <v>0</v>
      </c>
      <c r="F230" s="19">
        <v>0</v>
      </c>
      <c r="G230" s="19">
        <v>0</v>
      </c>
      <c r="H230" s="19">
        <f t="shared" si="18"/>
        <v>0</v>
      </c>
      <c r="I230" s="19">
        <v>0</v>
      </c>
      <c r="J230" s="19">
        <v>0</v>
      </c>
      <c r="K230" s="244"/>
      <c r="N230"/>
      <c r="O230"/>
    </row>
    <row r="231" spans="1:15" s="7" customFormat="1" x14ac:dyDescent="0.25">
      <c r="A231" s="18" t="s">
        <v>2412</v>
      </c>
      <c r="B231" s="18" t="s">
        <v>2413</v>
      </c>
      <c r="C231" s="19">
        <v>6847.18</v>
      </c>
      <c r="D231" s="19">
        <v>1759.97</v>
      </c>
      <c r="E231" s="19">
        <v>3260.19</v>
      </c>
      <c r="F231" s="19">
        <v>3260.19</v>
      </c>
      <c r="G231" s="19">
        <v>3551.56</v>
      </c>
      <c r="H231" s="19">
        <f t="shared" si="18"/>
        <v>3874.429090909091</v>
      </c>
      <c r="I231" s="19">
        <v>7000</v>
      </c>
      <c r="J231" s="19">
        <v>5000</v>
      </c>
      <c r="K231" s="244"/>
      <c r="N231"/>
      <c r="O231"/>
    </row>
    <row r="232" spans="1:15" s="7" customFormat="1" x14ac:dyDescent="0.25">
      <c r="A232" s="18" t="s">
        <v>2414</v>
      </c>
      <c r="B232" s="18" t="s">
        <v>2413</v>
      </c>
      <c r="C232" s="19">
        <v>6847.18</v>
      </c>
      <c r="D232" s="19">
        <v>1759.97</v>
      </c>
      <c r="E232" s="19">
        <v>3260.19</v>
      </c>
      <c r="F232" s="19">
        <v>3260.19</v>
      </c>
      <c r="G232" s="19">
        <v>3551.56</v>
      </c>
      <c r="H232" s="19">
        <f t="shared" si="18"/>
        <v>3874.429090909091</v>
      </c>
      <c r="I232" s="19">
        <v>7000</v>
      </c>
      <c r="J232" s="19">
        <v>5000</v>
      </c>
      <c r="K232" s="244"/>
      <c r="N232"/>
      <c r="O232"/>
    </row>
    <row r="233" spans="1:15" s="7" customFormat="1" x14ac:dyDescent="0.25">
      <c r="A233" s="18" t="s">
        <v>2415</v>
      </c>
      <c r="B233" s="18" t="s">
        <v>2416</v>
      </c>
      <c r="C233" s="19">
        <v>6141.96</v>
      </c>
      <c r="D233" s="19">
        <v>3070.98</v>
      </c>
      <c r="E233" s="19">
        <v>3582.81</v>
      </c>
      <c r="F233" s="19">
        <v>3582.81</v>
      </c>
      <c r="G233" s="19">
        <v>3582.81</v>
      </c>
      <c r="H233" s="19">
        <f t="shared" si="18"/>
        <v>3908.5199999999995</v>
      </c>
      <c r="I233" s="19">
        <v>6142</v>
      </c>
      <c r="J233" s="19">
        <v>5000</v>
      </c>
      <c r="K233" s="244"/>
      <c r="N233"/>
      <c r="O233"/>
    </row>
    <row r="234" spans="1:15" s="7" customFormat="1" x14ac:dyDescent="0.25">
      <c r="A234" s="18" t="s">
        <v>2417</v>
      </c>
      <c r="B234" s="18" t="s">
        <v>2418</v>
      </c>
      <c r="C234" s="19">
        <v>29</v>
      </c>
      <c r="D234" s="19">
        <v>12</v>
      </c>
      <c r="E234" s="19">
        <v>12</v>
      </c>
      <c r="F234" s="19">
        <v>12</v>
      </c>
      <c r="G234" s="19">
        <v>12</v>
      </c>
      <c r="H234" s="19">
        <f t="shared" si="18"/>
        <v>13.09090909090909</v>
      </c>
      <c r="I234" s="19">
        <v>0</v>
      </c>
      <c r="J234" s="19">
        <v>0</v>
      </c>
      <c r="K234" s="244"/>
      <c r="N234"/>
      <c r="O234"/>
    </row>
    <row r="235" spans="1:15" s="7" customFormat="1" x14ac:dyDescent="0.25">
      <c r="A235" s="18" t="s">
        <v>2419</v>
      </c>
      <c r="B235" s="18" t="s">
        <v>2420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9">
        <f t="shared" si="18"/>
        <v>0</v>
      </c>
      <c r="I235" s="19">
        <v>0</v>
      </c>
      <c r="J235" s="19">
        <v>0</v>
      </c>
      <c r="K235" s="244"/>
      <c r="N235"/>
      <c r="O235"/>
    </row>
    <row r="236" spans="1:15" s="7" customFormat="1" x14ac:dyDescent="0.25">
      <c r="A236" s="18" t="s">
        <v>2421</v>
      </c>
      <c r="B236" s="18" t="s">
        <v>2422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  <c r="H236" s="19">
        <f t="shared" si="18"/>
        <v>0</v>
      </c>
      <c r="I236" s="19">
        <v>0</v>
      </c>
      <c r="J236" s="19">
        <v>0</v>
      </c>
      <c r="K236" s="244"/>
      <c r="N236"/>
      <c r="O236"/>
    </row>
    <row r="237" spans="1:15" s="7" customFormat="1" x14ac:dyDescent="0.25">
      <c r="A237" s="18" t="s">
        <v>2423</v>
      </c>
      <c r="B237" s="18" t="s">
        <v>2424</v>
      </c>
      <c r="C237" s="19">
        <v>6100</v>
      </c>
      <c r="D237" s="19">
        <v>0</v>
      </c>
      <c r="E237" s="19">
        <v>0</v>
      </c>
      <c r="F237" s="19">
        <v>0</v>
      </c>
      <c r="G237" s="19">
        <v>0</v>
      </c>
      <c r="H237" s="19">
        <f t="shared" si="18"/>
        <v>0</v>
      </c>
      <c r="I237" s="19">
        <v>0</v>
      </c>
      <c r="J237" s="19">
        <v>0</v>
      </c>
      <c r="K237" s="244"/>
      <c r="N237"/>
      <c r="O237"/>
    </row>
    <row r="238" spans="1:15" s="7" customFormat="1" x14ac:dyDescent="0.25">
      <c r="A238" s="18" t="s">
        <v>2425</v>
      </c>
      <c r="B238" s="18" t="s">
        <v>2426</v>
      </c>
      <c r="C238" s="19">
        <v>6158.38</v>
      </c>
      <c r="D238" s="19">
        <v>0</v>
      </c>
      <c r="E238" s="19">
        <v>6000</v>
      </c>
      <c r="F238" s="19">
        <v>6000</v>
      </c>
      <c r="G238" s="19">
        <v>6000</v>
      </c>
      <c r="H238" s="19">
        <f t="shared" si="18"/>
        <v>6545.454545454546</v>
      </c>
      <c r="I238" s="19">
        <v>4000</v>
      </c>
      <c r="J238" s="19">
        <v>5000</v>
      </c>
      <c r="K238" s="244"/>
      <c r="N238"/>
      <c r="O238"/>
    </row>
    <row r="239" spans="1:15" s="7" customFormat="1" x14ac:dyDescent="0.25">
      <c r="A239" s="18" t="s">
        <v>2427</v>
      </c>
      <c r="B239" s="18" t="s">
        <v>2428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9">
        <f t="shared" si="18"/>
        <v>0</v>
      </c>
      <c r="I239" s="19">
        <v>0</v>
      </c>
      <c r="J239" s="19">
        <v>0</v>
      </c>
      <c r="K239" s="244"/>
      <c r="N239"/>
      <c r="O239"/>
    </row>
    <row r="240" spans="1:15" s="7" customFormat="1" x14ac:dyDescent="0.25">
      <c r="A240" s="18" t="s">
        <v>2429</v>
      </c>
      <c r="B240" s="18" t="s">
        <v>2430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  <c r="H240" s="19">
        <f t="shared" si="18"/>
        <v>0</v>
      </c>
      <c r="I240" s="19">
        <v>0</v>
      </c>
      <c r="J240" s="19">
        <v>0</v>
      </c>
      <c r="K240" s="244"/>
      <c r="N240"/>
      <c r="O240"/>
    </row>
    <row r="241" spans="1:15" s="7" customFormat="1" x14ac:dyDescent="0.25">
      <c r="A241" s="18" t="s">
        <v>2431</v>
      </c>
      <c r="B241" s="18" t="s">
        <v>2432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f t="shared" si="18"/>
        <v>0</v>
      </c>
      <c r="I241" s="19">
        <v>1000</v>
      </c>
      <c r="J241" s="19">
        <v>0</v>
      </c>
      <c r="K241" s="244"/>
      <c r="N241"/>
      <c r="O241"/>
    </row>
    <row r="242" spans="1:15" s="7" customFormat="1" x14ac:dyDescent="0.25">
      <c r="A242" s="18" t="s">
        <v>2433</v>
      </c>
      <c r="B242" s="18" t="s">
        <v>2434</v>
      </c>
      <c r="C242" s="19">
        <v>51533.42</v>
      </c>
      <c r="D242" s="19">
        <v>47950.97</v>
      </c>
      <c r="E242" s="19">
        <v>47950.97</v>
      </c>
      <c r="F242" s="19">
        <v>47950.97</v>
      </c>
      <c r="G242" s="19">
        <v>47950.97</v>
      </c>
      <c r="H242" s="19">
        <f t="shared" si="18"/>
        <v>52310.149090909094</v>
      </c>
      <c r="I242" s="19">
        <v>47950.98</v>
      </c>
      <c r="J242" s="19">
        <f>I242</f>
        <v>47950.98</v>
      </c>
      <c r="K242" s="244" t="s">
        <v>4035</v>
      </c>
      <c r="N242"/>
      <c r="O242"/>
    </row>
    <row r="243" spans="1:15" s="7" customFormat="1" x14ac:dyDescent="0.25">
      <c r="A243" s="18" t="s">
        <v>2435</v>
      </c>
      <c r="B243" s="18" t="s">
        <v>2436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f t="shared" si="18"/>
        <v>0</v>
      </c>
      <c r="I243" s="19">
        <v>0</v>
      </c>
      <c r="J243" s="19">
        <v>0</v>
      </c>
      <c r="K243" s="244"/>
      <c r="N243"/>
      <c r="O243"/>
    </row>
    <row r="244" spans="1:15" s="7" customFormat="1" ht="24" x14ac:dyDescent="0.25">
      <c r="A244" s="18" t="s">
        <v>2437</v>
      </c>
      <c r="B244" s="30" t="s">
        <v>4029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  <c r="H244" s="19">
        <f t="shared" si="18"/>
        <v>0</v>
      </c>
      <c r="I244" s="19">
        <v>0</v>
      </c>
      <c r="J244" s="19">
        <v>0</v>
      </c>
      <c r="K244" s="244"/>
      <c r="N244"/>
      <c r="O244"/>
    </row>
    <row r="245" spans="1:15" s="7" customFormat="1" x14ac:dyDescent="0.25">
      <c r="A245" s="18" t="s">
        <v>2439</v>
      </c>
      <c r="B245" s="18" t="s">
        <v>2440</v>
      </c>
      <c r="C245" s="19">
        <v>5</v>
      </c>
      <c r="D245" s="19">
        <v>0</v>
      </c>
      <c r="E245" s="19">
        <v>124</v>
      </c>
      <c r="F245" s="19">
        <v>124</v>
      </c>
      <c r="G245" s="19">
        <v>124</v>
      </c>
      <c r="H245" s="19">
        <f t="shared" si="18"/>
        <v>135.27272727272728</v>
      </c>
      <c r="I245" s="19">
        <v>0</v>
      </c>
      <c r="J245" s="19">
        <v>0</v>
      </c>
      <c r="K245" s="244"/>
      <c r="N245"/>
      <c r="O245"/>
    </row>
    <row r="246" spans="1:15" s="7" customFormat="1" x14ac:dyDescent="0.25">
      <c r="A246" s="18" t="s">
        <v>2441</v>
      </c>
      <c r="B246" s="18" t="s">
        <v>2442</v>
      </c>
      <c r="C246" s="19">
        <v>202</v>
      </c>
      <c r="D246" s="19">
        <v>3312.96</v>
      </c>
      <c r="E246" s="19">
        <v>3312.96</v>
      </c>
      <c r="F246" s="19">
        <v>3312.96</v>
      </c>
      <c r="G246" s="19">
        <v>3312.96</v>
      </c>
      <c r="H246" s="19">
        <f t="shared" si="18"/>
        <v>3614.1381818181817</v>
      </c>
      <c r="I246" s="19">
        <v>0</v>
      </c>
      <c r="J246" s="19">
        <v>0</v>
      </c>
      <c r="K246" s="244"/>
      <c r="N246"/>
      <c r="O246"/>
    </row>
    <row r="247" spans="1:15" s="7" customFormat="1" x14ac:dyDescent="0.25">
      <c r="A247" s="18" t="s">
        <v>2443</v>
      </c>
      <c r="B247" s="18" t="s">
        <v>2444</v>
      </c>
      <c r="C247" s="19">
        <v>3764.44</v>
      </c>
      <c r="D247" s="19">
        <v>0</v>
      </c>
      <c r="E247" s="19">
        <v>0</v>
      </c>
      <c r="F247" s="19">
        <v>0</v>
      </c>
      <c r="G247" s="19">
        <v>0</v>
      </c>
      <c r="H247" s="19">
        <f t="shared" si="18"/>
        <v>0</v>
      </c>
      <c r="I247" s="19">
        <v>0</v>
      </c>
      <c r="J247" s="19">
        <v>0</v>
      </c>
      <c r="K247" s="244"/>
      <c r="N247"/>
      <c r="O247"/>
    </row>
    <row r="248" spans="1:15" s="7" customFormat="1" x14ac:dyDescent="0.25">
      <c r="A248" s="18" t="s">
        <v>2445</v>
      </c>
      <c r="B248" s="18" t="s">
        <v>2446</v>
      </c>
      <c r="C248" s="19">
        <v>0</v>
      </c>
      <c r="D248" s="19">
        <v>0</v>
      </c>
      <c r="E248" s="19">
        <v>509.74</v>
      </c>
      <c r="F248" s="19">
        <v>509.74</v>
      </c>
      <c r="G248" s="19">
        <v>509.74</v>
      </c>
      <c r="H248" s="19">
        <f t="shared" si="18"/>
        <v>556.08000000000004</v>
      </c>
      <c r="I248" s="19">
        <v>0</v>
      </c>
      <c r="J248" s="19">
        <v>0</v>
      </c>
      <c r="K248" s="244"/>
      <c r="N248"/>
      <c r="O248"/>
    </row>
    <row r="249" spans="1:15" s="7" customFormat="1" x14ac:dyDescent="0.25">
      <c r="A249" s="18" t="s">
        <v>2447</v>
      </c>
      <c r="B249" s="18" t="s">
        <v>2448</v>
      </c>
      <c r="C249" s="19">
        <v>13.24</v>
      </c>
      <c r="D249" s="19">
        <v>0</v>
      </c>
      <c r="E249" s="19">
        <v>0</v>
      </c>
      <c r="F249" s="19">
        <v>0</v>
      </c>
      <c r="G249" s="19">
        <v>0</v>
      </c>
      <c r="H249" s="19">
        <f t="shared" si="18"/>
        <v>0</v>
      </c>
      <c r="I249" s="19">
        <v>0</v>
      </c>
      <c r="J249" s="19">
        <v>0</v>
      </c>
      <c r="K249" s="244"/>
      <c r="N249"/>
      <c r="O249"/>
    </row>
    <row r="250" spans="1:15" s="7" customFormat="1" x14ac:dyDescent="0.25">
      <c r="A250" s="18" t="s">
        <v>2449</v>
      </c>
      <c r="B250" s="18" t="s">
        <v>2450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  <c r="H250" s="19">
        <f t="shared" si="18"/>
        <v>0</v>
      </c>
      <c r="I250" s="19">
        <v>0</v>
      </c>
      <c r="J250" s="19">
        <v>0</v>
      </c>
      <c r="K250" s="244"/>
      <c r="N250"/>
      <c r="O250"/>
    </row>
    <row r="251" spans="1:15" s="7" customFormat="1" x14ac:dyDescent="0.25">
      <c r="A251" s="18" t="s">
        <v>2451</v>
      </c>
      <c r="B251" s="18" t="s">
        <v>2452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  <c r="H251" s="19">
        <f t="shared" si="18"/>
        <v>0</v>
      </c>
      <c r="I251" s="19">
        <v>0</v>
      </c>
      <c r="J251" s="19">
        <v>0</v>
      </c>
      <c r="K251" s="244"/>
      <c r="N251"/>
      <c r="O251"/>
    </row>
    <row r="252" spans="1:15" s="7" customFormat="1" x14ac:dyDescent="0.25">
      <c r="A252" s="18" t="s">
        <v>2453</v>
      </c>
      <c r="B252" s="18" t="s">
        <v>2454</v>
      </c>
      <c r="C252" s="19">
        <v>0.5</v>
      </c>
      <c r="D252" s="19">
        <v>0.95</v>
      </c>
      <c r="E252" s="19">
        <v>2.4700000000000002</v>
      </c>
      <c r="F252" s="19">
        <v>2.72</v>
      </c>
      <c r="G252" s="19">
        <v>2.72</v>
      </c>
      <c r="H252" s="19">
        <f t="shared" si="18"/>
        <v>2.9672727272727273</v>
      </c>
      <c r="I252" s="19">
        <v>0</v>
      </c>
      <c r="J252" s="19">
        <v>0</v>
      </c>
      <c r="K252" s="244"/>
      <c r="N252"/>
      <c r="O252"/>
    </row>
    <row r="253" spans="1:15" s="7" customFormat="1" x14ac:dyDescent="0.25">
      <c r="A253" s="18" t="s">
        <v>2455</v>
      </c>
      <c r="B253" s="18" t="s">
        <v>2456</v>
      </c>
      <c r="C253" s="19">
        <v>0</v>
      </c>
      <c r="D253" s="19">
        <v>0</v>
      </c>
      <c r="E253" s="19">
        <v>0</v>
      </c>
      <c r="F253" s="19">
        <v>0</v>
      </c>
      <c r="G253" s="19">
        <v>0</v>
      </c>
      <c r="H253" s="19">
        <f t="shared" si="18"/>
        <v>0</v>
      </c>
      <c r="I253" s="19">
        <v>0</v>
      </c>
      <c r="J253" s="19">
        <v>0</v>
      </c>
      <c r="K253" s="244"/>
      <c r="N253"/>
      <c r="O253"/>
    </row>
    <row r="254" spans="1:15" s="7" customFormat="1" x14ac:dyDescent="0.25">
      <c r="A254" s="18" t="s">
        <v>2457</v>
      </c>
      <c r="B254" s="18" t="s">
        <v>2458</v>
      </c>
      <c r="C254" s="19">
        <v>2411.52</v>
      </c>
      <c r="D254" s="19">
        <v>2426.7600000000002</v>
      </c>
      <c r="E254" s="19">
        <v>10394.14</v>
      </c>
      <c r="F254" s="19">
        <v>10394.14</v>
      </c>
      <c r="G254" s="19">
        <v>10394.14</v>
      </c>
      <c r="H254" s="19">
        <f t="shared" si="18"/>
        <v>11339.061818181817</v>
      </c>
      <c r="I254" s="19">
        <v>0</v>
      </c>
      <c r="J254" s="19">
        <v>0</v>
      </c>
      <c r="K254" s="244"/>
      <c r="N254"/>
      <c r="O254"/>
    </row>
    <row r="255" spans="1:15" s="7" customFormat="1" x14ac:dyDescent="0.25">
      <c r="A255" s="18" t="s">
        <v>2459</v>
      </c>
      <c r="B255" s="18" t="s">
        <v>2460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  <c r="H255" s="19">
        <f t="shared" si="18"/>
        <v>0</v>
      </c>
      <c r="I255" s="19">
        <v>0</v>
      </c>
      <c r="J255" s="19">
        <v>0</v>
      </c>
      <c r="K255" s="244"/>
      <c r="N255"/>
      <c r="O255"/>
    </row>
    <row r="256" spans="1:15" s="7" customFormat="1" x14ac:dyDescent="0.25">
      <c r="A256" s="18" t="s">
        <v>2461</v>
      </c>
      <c r="B256" s="18" t="s">
        <v>2398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  <c r="H256" s="19">
        <f t="shared" si="18"/>
        <v>0</v>
      </c>
      <c r="I256" s="19">
        <v>0</v>
      </c>
      <c r="J256" s="19">
        <v>0</v>
      </c>
      <c r="K256" s="244"/>
      <c r="N256"/>
      <c r="O256"/>
    </row>
    <row r="257" spans="1:15" s="7" customFormat="1" x14ac:dyDescent="0.25">
      <c r="A257" s="18" t="s">
        <v>2462</v>
      </c>
      <c r="B257" s="18" t="s">
        <v>2463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  <c r="H257" s="19">
        <f t="shared" si="18"/>
        <v>0</v>
      </c>
      <c r="I257" s="19">
        <v>0</v>
      </c>
      <c r="J257" s="19">
        <v>0</v>
      </c>
      <c r="K257" s="244"/>
      <c r="N257"/>
      <c r="O257"/>
    </row>
    <row r="258" spans="1:15" s="7" customFormat="1" x14ac:dyDescent="0.25">
      <c r="A258" s="18" t="s">
        <v>2464</v>
      </c>
      <c r="B258" s="18" t="s">
        <v>2465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  <c r="H258" s="19">
        <f t="shared" si="18"/>
        <v>0</v>
      </c>
      <c r="I258" s="19">
        <v>0</v>
      </c>
      <c r="J258" s="19">
        <v>0</v>
      </c>
      <c r="K258" s="244"/>
      <c r="N258"/>
      <c r="O258"/>
    </row>
    <row r="259" spans="1:15" s="7" customFormat="1" ht="24" x14ac:dyDescent="0.25">
      <c r="A259" s="18" t="s">
        <v>2466</v>
      </c>
      <c r="B259" s="18" t="s">
        <v>2467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  <c r="H259" s="19">
        <f t="shared" si="18"/>
        <v>0</v>
      </c>
      <c r="I259" s="19">
        <v>0</v>
      </c>
      <c r="J259" s="19">
        <v>0</v>
      </c>
      <c r="K259" s="244"/>
      <c r="N259"/>
      <c r="O259"/>
    </row>
    <row r="260" spans="1:15" s="7" customFormat="1" x14ac:dyDescent="0.25">
      <c r="A260" s="18" t="s">
        <v>2468</v>
      </c>
      <c r="B260" s="18" t="s">
        <v>2469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  <c r="H260" s="19">
        <f t="shared" si="18"/>
        <v>0</v>
      </c>
      <c r="I260" s="19">
        <v>0</v>
      </c>
      <c r="J260" s="19">
        <v>0</v>
      </c>
      <c r="K260" s="244"/>
      <c r="N260"/>
      <c r="O260"/>
    </row>
    <row r="261" spans="1:15" s="7" customFormat="1" x14ac:dyDescent="0.25">
      <c r="A261" s="18" t="s">
        <v>2470</v>
      </c>
      <c r="B261" s="18" t="s">
        <v>2471</v>
      </c>
      <c r="C261" s="19">
        <v>0</v>
      </c>
      <c r="D261" s="19">
        <v>0</v>
      </c>
      <c r="E261" s="19">
        <v>0</v>
      </c>
      <c r="F261" s="19">
        <v>0</v>
      </c>
      <c r="G261" s="19">
        <v>0</v>
      </c>
      <c r="H261" s="19">
        <f t="shared" si="18"/>
        <v>0</v>
      </c>
      <c r="I261" s="19">
        <v>0</v>
      </c>
      <c r="J261" s="19">
        <v>0</v>
      </c>
      <c r="K261" s="244"/>
      <c r="N261"/>
      <c r="O261"/>
    </row>
    <row r="262" spans="1:15" s="7" customFormat="1" x14ac:dyDescent="0.25">
      <c r="A262" s="18" t="s">
        <v>2472</v>
      </c>
      <c r="B262" s="18" t="s">
        <v>2473</v>
      </c>
      <c r="C262" s="19">
        <v>792</v>
      </c>
      <c r="D262" s="19">
        <v>660</v>
      </c>
      <c r="E262" s="19">
        <v>1294</v>
      </c>
      <c r="F262" s="19">
        <v>1294</v>
      </c>
      <c r="G262" s="19">
        <v>1492</v>
      </c>
      <c r="H262" s="19">
        <f t="shared" si="18"/>
        <v>1627.6363636363635</v>
      </c>
      <c r="I262" s="19">
        <v>0</v>
      </c>
      <c r="J262" s="19">
        <v>0</v>
      </c>
      <c r="K262" s="244"/>
      <c r="N262"/>
      <c r="O262"/>
    </row>
    <row r="263" spans="1:15" s="7" customFormat="1" x14ac:dyDescent="0.25">
      <c r="A263" s="18" t="s">
        <v>2474</v>
      </c>
      <c r="B263" s="18" t="s">
        <v>2475</v>
      </c>
      <c r="C263" s="19">
        <v>66</v>
      </c>
      <c r="D263" s="19">
        <v>0</v>
      </c>
      <c r="E263" s="19">
        <v>0</v>
      </c>
      <c r="F263" s="19">
        <v>0</v>
      </c>
      <c r="G263" s="19">
        <v>0</v>
      </c>
      <c r="H263" s="19">
        <f t="shared" si="18"/>
        <v>0</v>
      </c>
      <c r="I263" s="19">
        <v>0</v>
      </c>
      <c r="J263" s="19">
        <v>0</v>
      </c>
      <c r="K263" s="244"/>
      <c r="N263"/>
      <c r="O263"/>
    </row>
    <row r="264" spans="1:15" s="7" customFormat="1" ht="24" x14ac:dyDescent="0.25">
      <c r="A264" s="18" t="s">
        <v>2476</v>
      </c>
      <c r="B264" s="18" t="s">
        <v>2477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  <c r="H264" s="19">
        <f t="shared" si="18"/>
        <v>0</v>
      </c>
      <c r="I264" s="19">
        <v>0</v>
      </c>
      <c r="J264" s="19">
        <v>0</v>
      </c>
      <c r="K264" s="244"/>
      <c r="N264"/>
      <c r="O264"/>
    </row>
    <row r="265" spans="1:15" s="7" customFormat="1" x14ac:dyDescent="0.25">
      <c r="A265" s="18" t="s">
        <v>2478</v>
      </c>
      <c r="B265" s="18" t="s">
        <v>2479</v>
      </c>
      <c r="C265" s="19">
        <v>0</v>
      </c>
      <c r="D265" s="19">
        <v>0</v>
      </c>
      <c r="E265" s="19">
        <v>0</v>
      </c>
      <c r="F265" s="19">
        <v>0</v>
      </c>
      <c r="G265" s="19">
        <v>0</v>
      </c>
      <c r="H265" s="19">
        <f t="shared" si="18"/>
        <v>0</v>
      </c>
      <c r="I265" s="19">
        <v>0</v>
      </c>
      <c r="J265" s="19">
        <v>0</v>
      </c>
      <c r="K265" s="244"/>
      <c r="N265"/>
      <c r="O265"/>
    </row>
    <row r="266" spans="1:15" s="7" customFormat="1" x14ac:dyDescent="0.25">
      <c r="A266" s="18" t="s">
        <v>2480</v>
      </c>
      <c r="B266" s="18" t="s">
        <v>2481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  <c r="H266" s="19">
        <f t="shared" si="18"/>
        <v>0</v>
      </c>
      <c r="I266" s="19">
        <v>0</v>
      </c>
      <c r="J266" s="19">
        <v>0</v>
      </c>
      <c r="K266" s="244"/>
      <c r="N266"/>
      <c r="O266"/>
    </row>
    <row r="267" spans="1:15" s="7" customFormat="1" x14ac:dyDescent="0.25">
      <c r="A267" s="18" t="s">
        <v>2482</v>
      </c>
      <c r="B267" s="18" t="s">
        <v>2483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  <c r="H267" s="19">
        <f t="shared" si="18"/>
        <v>0</v>
      </c>
      <c r="I267" s="19">
        <v>0</v>
      </c>
      <c r="J267" s="19">
        <v>0</v>
      </c>
      <c r="K267" s="244"/>
      <c r="N267"/>
      <c r="O267"/>
    </row>
    <row r="268" spans="1:15" s="7" customFormat="1" x14ac:dyDescent="0.25">
      <c r="A268" s="18" t="s">
        <v>2484</v>
      </c>
      <c r="B268" s="18" t="s">
        <v>2485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  <c r="H268" s="19">
        <f t="shared" si="18"/>
        <v>0</v>
      </c>
      <c r="I268" s="19">
        <v>0</v>
      </c>
      <c r="J268" s="19">
        <v>0</v>
      </c>
      <c r="K268" s="244"/>
      <c r="N268"/>
      <c r="O268"/>
    </row>
    <row r="269" spans="1:15" s="7" customFormat="1" x14ac:dyDescent="0.25">
      <c r="A269" s="18" t="s">
        <v>2486</v>
      </c>
      <c r="B269" s="18" t="s">
        <v>2487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  <c r="H269" s="19">
        <f t="shared" si="18"/>
        <v>0</v>
      </c>
      <c r="I269" s="19">
        <v>0</v>
      </c>
      <c r="J269" s="19">
        <v>0</v>
      </c>
      <c r="K269" s="244"/>
      <c r="N269"/>
      <c r="O269"/>
    </row>
    <row r="270" spans="1:15" s="7" customFormat="1" x14ac:dyDescent="0.25">
      <c r="A270" s="18" t="s">
        <v>2488</v>
      </c>
      <c r="B270" s="18" t="s">
        <v>2489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  <c r="H270" s="19">
        <f t="shared" si="18"/>
        <v>0</v>
      </c>
      <c r="I270" s="19">
        <v>0</v>
      </c>
      <c r="J270" s="19">
        <v>0</v>
      </c>
      <c r="K270" s="244"/>
      <c r="N270"/>
      <c r="O270"/>
    </row>
    <row r="271" spans="1:15" s="7" customFormat="1" x14ac:dyDescent="0.25">
      <c r="A271" s="18" t="s">
        <v>2490</v>
      </c>
      <c r="B271" s="18" t="s">
        <v>2491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  <c r="H271" s="19">
        <f t="shared" si="18"/>
        <v>0</v>
      </c>
      <c r="I271" s="19">
        <v>0</v>
      </c>
      <c r="J271" s="19">
        <v>0</v>
      </c>
      <c r="K271" s="244"/>
      <c r="N271"/>
      <c r="O271"/>
    </row>
    <row r="272" spans="1:15" s="7" customFormat="1" x14ac:dyDescent="0.25">
      <c r="A272" s="18" t="s">
        <v>2492</v>
      </c>
      <c r="B272" s="18" t="s">
        <v>2493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  <c r="H272" s="19">
        <f t="shared" si="18"/>
        <v>0</v>
      </c>
      <c r="I272" s="19">
        <v>0</v>
      </c>
      <c r="J272" s="19">
        <v>0</v>
      </c>
      <c r="K272" s="244"/>
      <c r="N272"/>
      <c r="O272"/>
    </row>
    <row r="273" spans="1:15" s="7" customFormat="1" x14ac:dyDescent="0.25">
      <c r="A273" s="18" t="s">
        <v>2494</v>
      </c>
      <c r="B273" s="18" t="s">
        <v>2495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  <c r="H273" s="19">
        <f t="shared" si="18"/>
        <v>0</v>
      </c>
      <c r="I273" s="19">
        <v>0</v>
      </c>
      <c r="J273" s="19">
        <v>0</v>
      </c>
      <c r="K273" s="244"/>
      <c r="N273"/>
      <c r="O273"/>
    </row>
    <row r="274" spans="1:15" s="7" customFormat="1" x14ac:dyDescent="0.25">
      <c r="A274" s="18" t="s">
        <v>2496</v>
      </c>
      <c r="B274" s="18" t="s">
        <v>2497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  <c r="H274" s="19">
        <f t="shared" si="18"/>
        <v>0</v>
      </c>
      <c r="I274" s="19">
        <v>0</v>
      </c>
      <c r="J274" s="19">
        <v>0</v>
      </c>
      <c r="K274" s="244"/>
      <c r="N274"/>
      <c r="O274"/>
    </row>
    <row r="275" spans="1:15" s="7" customFormat="1" ht="24" x14ac:dyDescent="0.25">
      <c r="A275" s="18" t="s">
        <v>2498</v>
      </c>
      <c r="B275" s="18" t="s">
        <v>2499</v>
      </c>
      <c r="C275" s="19">
        <v>355.84</v>
      </c>
      <c r="D275" s="19">
        <v>0</v>
      </c>
      <c r="E275" s="19">
        <v>0</v>
      </c>
      <c r="F275" s="19">
        <v>0</v>
      </c>
      <c r="G275" s="19">
        <v>0</v>
      </c>
      <c r="H275" s="19">
        <f t="shared" si="18"/>
        <v>0</v>
      </c>
      <c r="I275" s="19">
        <v>0</v>
      </c>
      <c r="J275" s="19">
        <v>0</v>
      </c>
      <c r="K275" s="244"/>
      <c r="N275"/>
      <c r="O275"/>
    </row>
    <row r="276" spans="1:15" s="7" customFormat="1" x14ac:dyDescent="0.25">
      <c r="A276" s="18" t="s">
        <v>2500</v>
      </c>
      <c r="B276" s="18" t="s">
        <v>2501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  <c r="H276" s="19">
        <f t="shared" si="18"/>
        <v>0</v>
      </c>
      <c r="I276" s="19">
        <v>0</v>
      </c>
      <c r="J276" s="19">
        <v>0</v>
      </c>
      <c r="K276" s="244"/>
      <c r="N276"/>
      <c r="O276"/>
    </row>
    <row r="277" spans="1:15" s="7" customFormat="1" x14ac:dyDescent="0.25">
      <c r="A277" s="18" t="s">
        <v>2502</v>
      </c>
      <c r="B277" s="18" t="s">
        <v>2503</v>
      </c>
      <c r="C277" s="19">
        <v>24</v>
      </c>
      <c r="D277" s="19">
        <v>2</v>
      </c>
      <c r="E277" s="19">
        <v>2</v>
      </c>
      <c r="F277" s="19">
        <v>2</v>
      </c>
      <c r="G277" s="19">
        <v>7</v>
      </c>
      <c r="H277" s="19">
        <f t="shared" si="18"/>
        <v>7.6363636363636367</v>
      </c>
      <c r="I277" s="19">
        <v>0</v>
      </c>
      <c r="J277" s="19">
        <v>0</v>
      </c>
      <c r="K277" s="244"/>
      <c r="N277"/>
      <c r="O277"/>
    </row>
    <row r="278" spans="1:15" s="7" customFormat="1" x14ac:dyDescent="0.25">
      <c r="A278" s="18" t="s">
        <v>2504</v>
      </c>
      <c r="B278" s="18" t="s">
        <v>2505</v>
      </c>
      <c r="C278" s="19">
        <v>21</v>
      </c>
      <c r="D278" s="19">
        <v>0</v>
      </c>
      <c r="E278" s="19">
        <v>0</v>
      </c>
      <c r="F278" s="19">
        <v>0</v>
      </c>
      <c r="G278" s="19">
        <v>0</v>
      </c>
      <c r="H278" s="19">
        <f t="shared" si="18"/>
        <v>0</v>
      </c>
      <c r="I278" s="19">
        <v>0</v>
      </c>
      <c r="J278" s="19">
        <v>0</v>
      </c>
      <c r="K278" s="244"/>
      <c r="N278"/>
      <c r="O278"/>
    </row>
    <row r="279" spans="1:15" s="7" customFormat="1" x14ac:dyDescent="0.25">
      <c r="A279" s="18" t="s">
        <v>2506</v>
      </c>
      <c r="B279" s="18" t="s">
        <v>64</v>
      </c>
      <c r="C279" s="19">
        <v>3</v>
      </c>
      <c r="D279" s="19">
        <v>0</v>
      </c>
      <c r="E279" s="19">
        <v>0</v>
      </c>
      <c r="F279" s="19">
        <v>0</v>
      </c>
      <c r="G279" s="19">
        <v>0</v>
      </c>
      <c r="H279" s="19">
        <f t="shared" si="18"/>
        <v>0</v>
      </c>
      <c r="I279" s="19">
        <v>0</v>
      </c>
      <c r="J279" s="19">
        <v>0</v>
      </c>
      <c r="K279" s="244"/>
      <c r="N279"/>
      <c r="O279"/>
    </row>
    <row r="280" spans="1:15" s="7" customFormat="1" x14ac:dyDescent="0.25">
      <c r="A280" s="18" t="s">
        <v>2507</v>
      </c>
      <c r="B280" s="18" t="s">
        <v>2508</v>
      </c>
      <c r="C280" s="19">
        <v>0</v>
      </c>
      <c r="D280" s="19">
        <v>0</v>
      </c>
      <c r="E280" s="19">
        <v>0</v>
      </c>
      <c r="F280" s="19">
        <v>0</v>
      </c>
      <c r="G280" s="19">
        <v>0</v>
      </c>
      <c r="H280" s="19">
        <f t="shared" si="18"/>
        <v>0</v>
      </c>
      <c r="I280" s="19">
        <v>0</v>
      </c>
      <c r="J280" s="19">
        <v>0</v>
      </c>
      <c r="K280" s="244"/>
      <c r="N280"/>
      <c r="O280"/>
    </row>
    <row r="281" spans="1:15" s="7" customFormat="1" x14ac:dyDescent="0.25">
      <c r="A281" s="18" t="s">
        <v>2509</v>
      </c>
      <c r="B281" s="18" t="s">
        <v>2510</v>
      </c>
      <c r="C281" s="19">
        <v>1707.22</v>
      </c>
      <c r="D281" s="19">
        <v>2243.88</v>
      </c>
      <c r="E281" s="19">
        <v>2243.88</v>
      </c>
      <c r="F281" s="19">
        <v>2243.88</v>
      </c>
      <c r="G281" s="19">
        <v>2243.88</v>
      </c>
      <c r="H281" s="19">
        <f t="shared" si="18"/>
        <v>2447.869090909091</v>
      </c>
      <c r="I281" s="19">
        <v>0</v>
      </c>
      <c r="J281" s="19">
        <v>0</v>
      </c>
      <c r="K281" s="244"/>
      <c r="N281"/>
      <c r="O281"/>
    </row>
    <row r="282" spans="1:15" s="7" customFormat="1" x14ac:dyDescent="0.25">
      <c r="A282" s="16" t="s">
        <v>2511</v>
      </c>
      <c r="B282" s="16" t="s">
        <v>2</v>
      </c>
      <c r="C282" s="20">
        <v>104405.93</v>
      </c>
      <c r="D282" s="20">
        <v>70022.259999999995</v>
      </c>
      <c r="E282" s="20">
        <f t="shared" ref="E282:J282" si="19">SUM(E225:E281)</f>
        <v>98336.530000000013</v>
      </c>
      <c r="F282" s="20">
        <f t="shared" si="19"/>
        <v>98336.780000000013</v>
      </c>
      <c r="G282" s="20">
        <f t="shared" si="19"/>
        <v>101018.34000000003</v>
      </c>
      <c r="H282" s="20">
        <f t="shared" si="19"/>
        <v>110201.82545454545</v>
      </c>
      <c r="I282" s="20">
        <f t="shared" si="19"/>
        <v>83592.98000000001</v>
      </c>
      <c r="J282" s="20">
        <f t="shared" si="19"/>
        <v>85950.98000000001</v>
      </c>
      <c r="K282" s="244"/>
      <c r="N282"/>
      <c r="O282"/>
    </row>
    <row r="283" spans="1:15" s="7" customFormat="1" x14ac:dyDescent="0.25">
      <c r="A283" s="16" t="s">
        <v>2</v>
      </c>
      <c r="B283" s="16" t="s">
        <v>2</v>
      </c>
      <c r="C283" s="16" t="s">
        <v>2</v>
      </c>
      <c r="D283" s="16" t="s">
        <v>2</v>
      </c>
      <c r="E283" s="16"/>
      <c r="F283" s="16"/>
      <c r="G283" s="16"/>
      <c r="H283" s="16"/>
      <c r="I283" s="16" t="s">
        <v>2</v>
      </c>
      <c r="J283" s="16" t="s">
        <v>2</v>
      </c>
      <c r="K283" s="244"/>
      <c r="N283"/>
      <c r="O283"/>
    </row>
    <row r="284" spans="1:15" s="7" customFormat="1" x14ac:dyDescent="0.25">
      <c r="A284" s="102" t="s">
        <v>2546</v>
      </c>
      <c r="B284" s="103" t="s">
        <v>2</v>
      </c>
      <c r="C284" s="104"/>
      <c r="D284" s="104"/>
      <c r="E284" s="104"/>
      <c r="F284" s="104"/>
      <c r="G284" s="104"/>
      <c r="H284" s="104"/>
      <c r="I284" s="104"/>
      <c r="J284" s="104"/>
      <c r="K284" s="246"/>
      <c r="N284"/>
      <c r="O284"/>
    </row>
    <row r="285" spans="1:15" s="7" customFormat="1" x14ac:dyDescent="0.25">
      <c r="A285" s="105" t="s">
        <v>2512</v>
      </c>
      <c r="B285" s="105" t="s">
        <v>2513</v>
      </c>
      <c r="C285" s="106">
        <v>270000</v>
      </c>
      <c r="D285" s="106">
        <v>0</v>
      </c>
      <c r="E285" s="106">
        <v>0</v>
      </c>
      <c r="F285" s="106">
        <v>0</v>
      </c>
      <c r="G285" s="106">
        <v>0</v>
      </c>
      <c r="H285" s="106">
        <v>270000</v>
      </c>
      <c r="I285" s="106">
        <v>270000</v>
      </c>
      <c r="J285" s="106">
        <f>Transfers!$C$5</f>
        <v>400000</v>
      </c>
      <c r="K285" s="246"/>
      <c r="N285"/>
      <c r="O285"/>
    </row>
    <row r="286" spans="1:15" s="7" customFormat="1" x14ac:dyDescent="0.25">
      <c r="A286" s="105" t="s">
        <v>2514</v>
      </c>
      <c r="B286" s="105" t="s">
        <v>2515</v>
      </c>
      <c r="C286" s="106">
        <v>0</v>
      </c>
      <c r="D286" s="106">
        <v>0</v>
      </c>
      <c r="E286" s="106">
        <v>0</v>
      </c>
      <c r="F286" s="106">
        <v>0</v>
      </c>
      <c r="G286" s="106">
        <v>0</v>
      </c>
      <c r="H286" s="106">
        <v>0</v>
      </c>
      <c r="I286" s="106">
        <v>0</v>
      </c>
      <c r="J286" s="106">
        <f>Transfers!$C$7</f>
        <v>0</v>
      </c>
      <c r="K286" s="246"/>
      <c r="N286"/>
      <c r="O286"/>
    </row>
    <row r="287" spans="1:15" s="7" customFormat="1" x14ac:dyDescent="0.25">
      <c r="A287" s="105" t="s">
        <v>2516</v>
      </c>
      <c r="B287" s="105" t="s">
        <v>2517</v>
      </c>
      <c r="C287" s="106">
        <v>0</v>
      </c>
      <c r="D287" s="106">
        <v>0</v>
      </c>
      <c r="E287" s="106">
        <v>0</v>
      </c>
      <c r="F287" s="106">
        <v>0</v>
      </c>
      <c r="G287" s="106">
        <v>0</v>
      </c>
      <c r="H287" s="106">
        <v>0</v>
      </c>
      <c r="I287" s="106">
        <v>0</v>
      </c>
      <c r="J287" s="106">
        <f>Transfers!$C$7</f>
        <v>0</v>
      </c>
      <c r="K287" s="246"/>
      <c r="N287"/>
      <c r="O287"/>
    </row>
    <row r="288" spans="1:15" s="7" customFormat="1" x14ac:dyDescent="0.25">
      <c r="A288" s="105" t="s">
        <v>2518</v>
      </c>
      <c r="B288" s="105" t="s">
        <v>2519</v>
      </c>
      <c r="C288" s="106">
        <v>50000</v>
      </c>
      <c r="D288" s="106">
        <v>0</v>
      </c>
      <c r="E288" s="106">
        <v>0</v>
      </c>
      <c r="F288" s="106">
        <v>0</v>
      </c>
      <c r="G288" s="106">
        <v>0</v>
      </c>
      <c r="H288" s="106">
        <v>0</v>
      </c>
      <c r="I288" s="106">
        <v>0</v>
      </c>
      <c r="J288" s="106">
        <f>Transfers!$C$8</f>
        <v>0</v>
      </c>
      <c r="K288" s="246"/>
      <c r="N288"/>
      <c r="O288"/>
    </row>
    <row r="289" spans="1:15" s="7" customFormat="1" x14ac:dyDescent="0.25">
      <c r="A289" s="105" t="s">
        <v>2520</v>
      </c>
      <c r="B289" s="105" t="s">
        <v>2521</v>
      </c>
      <c r="C289" s="106">
        <v>8000</v>
      </c>
      <c r="D289" s="106">
        <v>0</v>
      </c>
      <c r="E289" s="106">
        <v>0</v>
      </c>
      <c r="F289" s="106">
        <v>0</v>
      </c>
      <c r="G289" s="106">
        <v>0</v>
      </c>
      <c r="H289" s="106">
        <v>13500</v>
      </c>
      <c r="I289" s="106">
        <v>13500</v>
      </c>
      <c r="J289" s="106">
        <f>Transfers!$C$9</f>
        <v>24000</v>
      </c>
      <c r="K289" s="246"/>
      <c r="N289"/>
      <c r="O289"/>
    </row>
    <row r="290" spans="1:15" s="7" customFormat="1" x14ac:dyDescent="0.25">
      <c r="A290" s="105" t="s">
        <v>2522</v>
      </c>
      <c r="B290" s="105" t="s">
        <v>2523</v>
      </c>
      <c r="C290" s="106">
        <v>91813.5</v>
      </c>
      <c r="D290" s="106">
        <v>0</v>
      </c>
      <c r="E290" s="106">
        <v>0</v>
      </c>
      <c r="F290" s="106">
        <v>0</v>
      </c>
      <c r="G290" s="106">
        <v>0</v>
      </c>
      <c r="H290" s="106">
        <v>50000</v>
      </c>
      <c r="I290" s="106">
        <v>50000</v>
      </c>
      <c r="J290" s="106">
        <f>Transfers!$C$10</f>
        <v>50000</v>
      </c>
      <c r="K290" s="246"/>
      <c r="N290"/>
      <c r="O290"/>
    </row>
    <row r="291" spans="1:15" s="7" customFormat="1" x14ac:dyDescent="0.25">
      <c r="A291" s="105" t="s">
        <v>2524</v>
      </c>
      <c r="B291" s="105" t="s">
        <v>2525</v>
      </c>
      <c r="C291" s="106">
        <v>25000</v>
      </c>
      <c r="D291" s="106">
        <v>0</v>
      </c>
      <c r="E291" s="106">
        <v>0</v>
      </c>
      <c r="F291" s="106">
        <v>0</v>
      </c>
      <c r="G291" s="106">
        <v>0</v>
      </c>
      <c r="H291" s="106">
        <v>25000</v>
      </c>
      <c r="I291" s="106">
        <v>25000</v>
      </c>
      <c r="J291" s="106">
        <f>Transfers!$C$11</f>
        <v>25000</v>
      </c>
      <c r="K291" s="246"/>
      <c r="N291"/>
      <c r="O291"/>
    </row>
    <row r="292" spans="1:15" s="7" customFormat="1" x14ac:dyDescent="0.25">
      <c r="A292" s="105" t="s">
        <v>2526</v>
      </c>
      <c r="B292" s="105" t="s">
        <v>2527</v>
      </c>
      <c r="C292" s="106">
        <v>0</v>
      </c>
      <c r="D292" s="106">
        <v>0</v>
      </c>
      <c r="E292" s="106">
        <v>0</v>
      </c>
      <c r="F292" s="106">
        <v>0</v>
      </c>
      <c r="G292" s="106">
        <v>0</v>
      </c>
      <c r="H292" s="106">
        <v>0</v>
      </c>
      <c r="I292" s="106">
        <v>0</v>
      </c>
      <c r="J292" s="106">
        <f>Transfers!$C$12</f>
        <v>0</v>
      </c>
      <c r="K292" s="246"/>
      <c r="N292"/>
      <c r="O292"/>
    </row>
    <row r="293" spans="1:15" s="7" customFormat="1" x14ac:dyDescent="0.25">
      <c r="A293" s="105" t="s">
        <v>2528</v>
      </c>
      <c r="B293" s="105" t="s">
        <v>2529</v>
      </c>
      <c r="C293" s="106">
        <v>665000</v>
      </c>
      <c r="D293" s="106">
        <v>0</v>
      </c>
      <c r="E293" s="106">
        <v>0</v>
      </c>
      <c r="F293" s="106">
        <v>0</v>
      </c>
      <c r="G293" s="106">
        <v>0</v>
      </c>
      <c r="H293" s="106">
        <v>0</v>
      </c>
      <c r="I293" s="106">
        <v>0</v>
      </c>
      <c r="J293" s="106">
        <f>Transfers!$C$13</f>
        <v>0</v>
      </c>
      <c r="K293" s="246"/>
      <c r="N293"/>
      <c r="O293"/>
    </row>
    <row r="294" spans="1:15" s="7" customFormat="1" x14ac:dyDescent="0.25">
      <c r="A294" s="105" t="s">
        <v>2530</v>
      </c>
      <c r="B294" s="105" t="s">
        <v>2531</v>
      </c>
      <c r="C294" s="106">
        <v>0</v>
      </c>
      <c r="D294" s="106">
        <v>0</v>
      </c>
      <c r="E294" s="106">
        <v>0</v>
      </c>
      <c r="F294" s="106">
        <v>0</v>
      </c>
      <c r="G294" s="106">
        <v>0</v>
      </c>
      <c r="H294" s="106">
        <v>0</v>
      </c>
      <c r="I294" s="106">
        <v>0</v>
      </c>
      <c r="J294" s="106">
        <f>Transfers!$C$14</f>
        <v>0</v>
      </c>
      <c r="K294" s="246"/>
      <c r="N294"/>
      <c r="O294"/>
    </row>
    <row r="295" spans="1:15" s="7" customFormat="1" x14ac:dyDescent="0.25">
      <c r="A295" s="102" t="s">
        <v>2547</v>
      </c>
      <c r="B295" s="103" t="s">
        <v>2</v>
      </c>
      <c r="C295" s="107">
        <v>1109813.5</v>
      </c>
      <c r="D295" s="107">
        <v>0</v>
      </c>
      <c r="E295" s="107">
        <f t="shared" ref="E295:J295" si="20">SUM(E285:E294)</f>
        <v>0</v>
      </c>
      <c r="F295" s="107">
        <f t="shared" si="20"/>
        <v>0</v>
      </c>
      <c r="G295" s="107">
        <f t="shared" si="20"/>
        <v>0</v>
      </c>
      <c r="H295" s="107">
        <f t="shared" si="20"/>
        <v>358500</v>
      </c>
      <c r="I295" s="107">
        <f t="shared" si="20"/>
        <v>358500</v>
      </c>
      <c r="J295" s="107">
        <f t="shared" si="20"/>
        <v>499000</v>
      </c>
      <c r="K295" s="246"/>
      <c r="N295"/>
      <c r="O295"/>
    </row>
    <row r="296" spans="1:15" s="7" customFormat="1" x14ac:dyDescent="0.25">
      <c r="A296" s="16" t="s">
        <v>2</v>
      </c>
      <c r="B296" s="16" t="s">
        <v>2</v>
      </c>
      <c r="C296" s="16" t="s">
        <v>2</v>
      </c>
      <c r="D296" s="16" t="s">
        <v>2</v>
      </c>
      <c r="E296" s="16"/>
      <c r="F296" s="16"/>
      <c r="G296" s="16"/>
      <c r="H296" s="16"/>
      <c r="I296" s="16" t="s">
        <v>2</v>
      </c>
      <c r="J296" s="16" t="s">
        <v>2</v>
      </c>
      <c r="K296" s="244"/>
      <c r="N296"/>
      <c r="O296"/>
    </row>
    <row r="297" spans="1:15" s="7" customFormat="1" x14ac:dyDescent="0.25">
      <c r="A297" s="16" t="s">
        <v>2532</v>
      </c>
      <c r="B297" s="16" t="s">
        <v>2</v>
      </c>
      <c r="C297" s="17"/>
      <c r="D297" s="17"/>
      <c r="E297" s="17"/>
      <c r="F297" s="17"/>
      <c r="G297" s="17"/>
      <c r="H297" s="17"/>
      <c r="I297" s="17"/>
      <c r="J297" s="17"/>
      <c r="K297" s="244"/>
      <c r="N297"/>
      <c r="O297"/>
    </row>
    <row r="298" spans="1:15" s="7" customFormat="1" x14ac:dyDescent="0.25">
      <c r="A298" s="18" t="s">
        <v>2533</v>
      </c>
      <c r="B298" s="18" t="s">
        <v>2534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  <c r="H298" s="19">
        <f>G298/11*12</f>
        <v>0</v>
      </c>
      <c r="I298" s="19">
        <v>0</v>
      </c>
      <c r="J298" s="19">
        <v>0</v>
      </c>
      <c r="K298" s="244"/>
      <c r="N298"/>
      <c r="O298"/>
    </row>
    <row r="299" spans="1:15" s="7" customFormat="1" x14ac:dyDescent="0.25">
      <c r="A299" s="18" t="s">
        <v>2535</v>
      </c>
      <c r="B299" s="18" t="s">
        <v>2536</v>
      </c>
      <c r="C299" s="19">
        <v>0</v>
      </c>
      <c r="D299" s="19">
        <v>0</v>
      </c>
      <c r="E299" s="19">
        <v>0</v>
      </c>
      <c r="F299" s="19">
        <v>0</v>
      </c>
      <c r="G299" s="19">
        <v>0</v>
      </c>
      <c r="H299" s="19">
        <f>G299/11*12</f>
        <v>0</v>
      </c>
      <c r="I299" s="19">
        <v>0</v>
      </c>
      <c r="J299" s="19">
        <v>0</v>
      </c>
      <c r="K299" s="244"/>
      <c r="N299"/>
      <c r="O299"/>
    </row>
    <row r="300" spans="1:15" s="7" customFormat="1" ht="24" x14ac:dyDescent="0.25">
      <c r="A300" s="16" t="s">
        <v>2537</v>
      </c>
      <c r="B300" s="16" t="s">
        <v>2</v>
      </c>
      <c r="C300" s="20">
        <v>0</v>
      </c>
      <c r="D300" s="20">
        <v>0</v>
      </c>
      <c r="E300" s="20">
        <f t="shared" ref="E300:J300" si="21">SUM(E298:E299)</f>
        <v>0</v>
      </c>
      <c r="F300" s="20">
        <f t="shared" si="21"/>
        <v>0</v>
      </c>
      <c r="G300" s="20">
        <f t="shared" si="21"/>
        <v>0</v>
      </c>
      <c r="H300" s="20">
        <f t="shared" si="21"/>
        <v>0</v>
      </c>
      <c r="I300" s="20">
        <f t="shared" si="21"/>
        <v>0</v>
      </c>
      <c r="J300" s="20">
        <f t="shared" si="21"/>
        <v>0</v>
      </c>
      <c r="K300" s="244"/>
      <c r="N300"/>
      <c r="O300"/>
    </row>
    <row r="301" spans="1:15" s="7" customFormat="1" x14ac:dyDescent="0.25">
      <c r="A301" s="16" t="s">
        <v>2</v>
      </c>
      <c r="B301" s="16" t="s">
        <v>2</v>
      </c>
      <c r="C301" s="16" t="s">
        <v>2</v>
      </c>
      <c r="D301" s="16" t="s">
        <v>2</v>
      </c>
      <c r="E301" s="16"/>
      <c r="F301" s="16"/>
      <c r="G301" s="16"/>
      <c r="H301" s="16"/>
      <c r="I301" s="16" t="s">
        <v>2</v>
      </c>
      <c r="J301" s="16" t="s">
        <v>2</v>
      </c>
      <c r="K301" s="244"/>
      <c r="N301"/>
      <c r="O301"/>
    </row>
    <row r="302" spans="1:15" s="7" customFormat="1" x14ac:dyDescent="0.25">
      <c r="A302" s="18" t="s">
        <v>2538</v>
      </c>
      <c r="B302" s="18" t="s">
        <v>2539</v>
      </c>
      <c r="C302" s="19">
        <v>-30305.47</v>
      </c>
      <c r="D302" s="19">
        <v>192699.33</v>
      </c>
      <c r="E302" s="19">
        <v>270605.43</v>
      </c>
      <c r="F302" s="19">
        <v>300431.71999999997</v>
      </c>
      <c r="G302" s="19">
        <v>331736.71999999997</v>
      </c>
      <c r="H302" s="19">
        <f>G302/11*12</f>
        <v>361894.60363636358</v>
      </c>
      <c r="I302" s="19">
        <v>75000</v>
      </c>
      <c r="J302" s="19">
        <v>100000</v>
      </c>
      <c r="K302" s="244"/>
      <c r="N302"/>
      <c r="O302"/>
    </row>
    <row r="303" spans="1:15" s="7" customFormat="1" x14ac:dyDescent="0.25">
      <c r="A303" s="18" t="s">
        <v>2540</v>
      </c>
      <c r="B303" s="18" t="s">
        <v>2541</v>
      </c>
      <c r="C303" s="19">
        <v>16000</v>
      </c>
      <c r="D303" s="19">
        <v>0</v>
      </c>
      <c r="E303" s="19">
        <v>0</v>
      </c>
      <c r="F303" s="19">
        <v>0</v>
      </c>
      <c r="G303" s="19">
        <v>0</v>
      </c>
      <c r="H303" s="19">
        <f t="shared" ref="H303:H304" si="22">G303/11*12</f>
        <v>0</v>
      </c>
      <c r="I303" s="19">
        <v>0</v>
      </c>
      <c r="J303" s="19">
        <v>0</v>
      </c>
      <c r="K303" s="244"/>
      <c r="N303"/>
      <c r="O303"/>
    </row>
    <row r="304" spans="1:15" s="7" customFormat="1" x14ac:dyDescent="0.25">
      <c r="A304" s="18" t="s">
        <v>2542</v>
      </c>
      <c r="B304" s="18" t="s">
        <v>704</v>
      </c>
      <c r="C304" s="19">
        <v>0</v>
      </c>
      <c r="D304" s="19">
        <v>3345.71</v>
      </c>
      <c r="E304" s="19">
        <v>3345.71</v>
      </c>
      <c r="F304" s="19">
        <v>3345.71</v>
      </c>
      <c r="G304" s="19">
        <v>3345.71</v>
      </c>
      <c r="H304" s="19">
        <f t="shared" si="22"/>
        <v>3649.8654545454547</v>
      </c>
      <c r="I304" s="19">
        <v>0</v>
      </c>
      <c r="J304" s="19">
        <v>0</v>
      </c>
      <c r="K304" s="244"/>
      <c r="N304"/>
      <c r="O304"/>
    </row>
    <row r="305" spans="1:15" s="7" customFormat="1" x14ac:dyDescent="0.25">
      <c r="A305" s="16" t="s">
        <v>738</v>
      </c>
      <c r="B305" s="16" t="s">
        <v>2</v>
      </c>
      <c r="C305" s="20">
        <v>12754872.9</v>
      </c>
      <c r="D305" s="20">
        <v>5630348.7800000003</v>
      </c>
      <c r="E305" s="20">
        <f>E20+E53+E100+E107+E178+E222+E282+E295+E300+E302+E303+E304</f>
        <v>8449046.5800000019</v>
      </c>
      <c r="F305" s="20">
        <f>F20+F53+F100+F107+F178+F222+F282+F295+F300+F302+F303+F304</f>
        <v>9110279.9800000023</v>
      </c>
      <c r="G305" s="20">
        <f>G20+G53+G100+G107+G178+G222+G282+G295+G300+G302+G303+G304</f>
        <v>10589729.550000001</v>
      </c>
      <c r="H305" s="20">
        <f>H20+H53+H100+H107+H178+H222+H282+H295+H300+H302+H303+H304</f>
        <v>11721091.654545454</v>
      </c>
      <c r="I305" s="20">
        <f>SUM(I302:I304)+I300+I295+I282+I222+I178+I107+I100+I53+I20</f>
        <v>9666905.6799999997</v>
      </c>
      <c r="J305" s="20">
        <f>SUM(J302:J304)+J300+J295+J282+J222+J178+J107+J100+J53+J20</f>
        <v>10638913.828044135</v>
      </c>
      <c r="K305" s="244"/>
      <c r="N305"/>
      <c r="O305"/>
    </row>
    <row r="306" spans="1:15" x14ac:dyDescent="0.25">
      <c r="A306" s="1" t="s">
        <v>2548</v>
      </c>
      <c r="B306" s="1" t="s">
        <v>2</v>
      </c>
      <c r="C306" s="1" t="s">
        <v>2</v>
      </c>
      <c r="D306" s="1" t="s">
        <v>2</v>
      </c>
      <c r="E306" s="24"/>
      <c r="F306" s="24"/>
      <c r="G306" s="24"/>
      <c r="H306" s="24"/>
      <c r="I306" s="1" t="s">
        <v>2</v>
      </c>
      <c r="J306" s="1" t="s">
        <v>2</v>
      </c>
    </row>
    <row r="307" spans="1:15" ht="15" customHeight="1" x14ac:dyDescent="0.25">
      <c r="A307" s="1" t="s">
        <v>5</v>
      </c>
      <c r="B307" s="1" t="s">
        <v>2</v>
      </c>
    </row>
    <row r="308" spans="1:15" ht="15" customHeight="1" x14ac:dyDescent="0.25">
      <c r="A308" s="2" t="s">
        <v>6</v>
      </c>
      <c r="B308" s="2" t="s">
        <v>7</v>
      </c>
      <c r="C308" s="3">
        <v>1362.59</v>
      </c>
      <c r="D308" s="3">
        <v>309.47000000000003</v>
      </c>
      <c r="E308" s="3">
        <v>601.75</v>
      </c>
      <c r="F308" s="3"/>
      <c r="G308" s="3">
        <v>780.36</v>
      </c>
      <c r="H308" s="3">
        <f>G308/11*12</f>
        <v>851.30181818181813</v>
      </c>
      <c r="I308" s="3">
        <v>2000</v>
      </c>
      <c r="J308" s="302">
        <v>0</v>
      </c>
    </row>
    <row r="309" spans="1:15" ht="15" customHeight="1" x14ac:dyDescent="0.25">
      <c r="A309" s="2" t="s">
        <v>8</v>
      </c>
      <c r="B309" s="2" t="s">
        <v>9</v>
      </c>
      <c r="C309" s="3">
        <v>55555.91</v>
      </c>
      <c r="D309" s="3">
        <v>29277.599999999999</v>
      </c>
      <c r="E309" s="3">
        <v>48709.599999999999</v>
      </c>
      <c r="F309" s="3"/>
      <c r="G309" s="3">
        <v>53567.6</v>
      </c>
      <c r="H309" s="3">
        <f t="shared" ref="H309:H316" si="23">G309/11*12</f>
        <v>58437.381818181821</v>
      </c>
      <c r="I309" s="3">
        <v>58296</v>
      </c>
      <c r="J309" s="302">
        <v>60060</v>
      </c>
    </row>
    <row r="310" spans="1:15" ht="15" customHeight="1" x14ac:dyDescent="0.25">
      <c r="A310" s="2" t="s">
        <v>10</v>
      </c>
      <c r="B310" s="2" t="s">
        <v>11</v>
      </c>
      <c r="C310" s="3">
        <v>4249.9399999999996</v>
      </c>
      <c r="D310" s="3">
        <v>2239.69</v>
      </c>
      <c r="E310" s="3">
        <v>3726.21</v>
      </c>
      <c r="F310" s="3"/>
      <c r="G310" s="3">
        <v>4097.84</v>
      </c>
      <c r="H310" s="3">
        <f t="shared" si="23"/>
        <v>4470.3709090909097</v>
      </c>
      <c r="I310" s="3">
        <v>4459.6400000000003</v>
      </c>
      <c r="J310" s="302">
        <v>4594.59</v>
      </c>
      <c r="L310" s="41"/>
    </row>
    <row r="311" spans="1:15" ht="15" customHeight="1" x14ac:dyDescent="0.25">
      <c r="A311" s="2" t="s">
        <v>12</v>
      </c>
      <c r="B311" s="2" t="s">
        <v>13</v>
      </c>
      <c r="C311" s="3">
        <v>81.59</v>
      </c>
      <c r="D311" s="3">
        <v>60.91</v>
      </c>
      <c r="E311" s="3">
        <v>100.88</v>
      </c>
      <c r="F311" s="3"/>
      <c r="G311" s="3">
        <v>108.93</v>
      </c>
      <c r="H311" s="3">
        <f t="shared" si="23"/>
        <v>118.83272727272728</v>
      </c>
      <c r="I311" s="3">
        <v>85.7</v>
      </c>
      <c r="J311" s="302">
        <v>96.5</v>
      </c>
    </row>
    <row r="312" spans="1:15" x14ac:dyDescent="0.25">
      <c r="A312" s="2" t="s">
        <v>14</v>
      </c>
      <c r="B312" s="2" t="s">
        <v>15</v>
      </c>
      <c r="C312" s="3">
        <v>6154.65</v>
      </c>
      <c r="D312" s="3">
        <v>6914.48</v>
      </c>
      <c r="E312" s="3">
        <v>6914.48</v>
      </c>
      <c r="F312" s="3"/>
      <c r="G312" s="3">
        <v>6338.27</v>
      </c>
      <c r="H312" s="3">
        <f t="shared" si="23"/>
        <v>6914.4763636363641</v>
      </c>
      <c r="I312" s="3">
        <v>6914.48</v>
      </c>
      <c r="J312" s="302">
        <f>'Computer '!D5</f>
        <v>6154.6495312499992</v>
      </c>
      <c r="L312" s="41"/>
    </row>
    <row r="313" spans="1:15" ht="15" customHeight="1" x14ac:dyDescent="0.25">
      <c r="A313" s="2" t="s">
        <v>16</v>
      </c>
      <c r="B313" s="2" t="s">
        <v>17</v>
      </c>
      <c r="C313" s="3">
        <v>0</v>
      </c>
      <c r="D313" s="3">
        <v>0</v>
      </c>
      <c r="E313" s="3">
        <v>2289.79</v>
      </c>
      <c r="F313" s="3"/>
      <c r="G313" s="3">
        <v>2289.79</v>
      </c>
      <c r="H313" s="3">
        <f t="shared" si="23"/>
        <v>2497.9527272727273</v>
      </c>
      <c r="I313" s="3">
        <v>3000</v>
      </c>
      <c r="J313" s="302">
        <v>3000</v>
      </c>
    </row>
    <row r="314" spans="1:15" ht="15" customHeight="1" x14ac:dyDescent="0.25">
      <c r="A314" s="2" t="s">
        <v>18</v>
      </c>
      <c r="B314" s="2" t="s">
        <v>19</v>
      </c>
      <c r="C314" s="3">
        <v>0</v>
      </c>
      <c r="D314" s="3">
        <v>0</v>
      </c>
      <c r="E314" s="3">
        <v>0</v>
      </c>
      <c r="F314" s="3"/>
      <c r="G314" s="3">
        <v>0</v>
      </c>
      <c r="H314" s="3">
        <f t="shared" si="23"/>
        <v>0</v>
      </c>
      <c r="I314" s="3">
        <v>200</v>
      </c>
      <c r="J314" s="302">
        <v>200</v>
      </c>
    </row>
    <row r="315" spans="1:15" ht="15" customHeight="1" x14ac:dyDescent="0.25">
      <c r="A315" s="2" t="s">
        <v>20</v>
      </c>
      <c r="B315" s="2" t="s">
        <v>21</v>
      </c>
      <c r="C315" s="3">
        <v>908.32</v>
      </c>
      <c r="D315" s="3">
        <v>311</v>
      </c>
      <c r="E315" s="3">
        <v>1101</v>
      </c>
      <c r="F315" s="3"/>
      <c r="G315" s="3">
        <v>1103.93</v>
      </c>
      <c r="H315" s="3">
        <f t="shared" si="23"/>
        <v>1204.2872727272727</v>
      </c>
      <c r="I315" s="3">
        <v>5000</v>
      </c>
      <c r="J315" s="302">
        <v>5000</v>
      </c>
    </row>
    <row r="316" spans="1:15" ht="15" customHeight="1" x14ac:dyDescent="0.25">
      <c r="A316" s="2" t="s">
        <v>3557</v>
      </c>
      <c r="B316" s="2" t="s">
        <v>3558</v>
      </c>
      <c r="C316" s="3">
        <v>0</v>
      </c>
      <c r="D316" s="3">
        <v>0</v>
      </c>
      <c r="E316" s="3">
        <v>0</v>
      </c>
      <c r="F316" s="3"/>
      <c r="G316" s="3">
        <v>0</v>
      </c>
      <c r="H316" s="3">
        <f t="shared" si="23"/>
        <v>0</v>
      </c>
      <c r="I316" s="3">
        <v>0</v>
      </c>
      <c r="J316" s="5">
        <v>2000</v>
      </c>
      <c r="K316" s="243" t="s">
        <v>4030</v>
      </c>
      <c r="L316" s="318" t="s">
        <v>4183</v>
      </c>
    </row>
    <row r="317" spans="1:15" ht="15" customHeight="1" x14ac:dyDescent="0.25">
      <c r="A317" s="1" t="s">
        <v>22</v>
      </c>
      <c r="B317" s="1" t="s">
        <v>2</v>
      </c>
      <c r="C317" s="6">
        <v>68313</v>
      </c>
      <c r="D317" s="6">
        <v>39113.15</v>
      </c>
      <c r="E317" s="6">
        <f>SUM(E308:E316)</f>
        <v>63443.71</v>
      </c>
      <c r="F317" s="6"/>
      <c r="G317" s="6">
        <f>SUM(G308:G316)</f>
        <v>68286.719999999987</v>
      </c>
      <c r="H317" s="6">
        <f>SUM(H308:H316)</f>
        <v>74494.603636363652</v>
      </c>
      <c r="I317" s="6">
        <f>SUM(I308:I316)</f>
        <v>79955.819999999992</v>
      </c>
      <c r="J317" s="304">
        <f>SUM(J308:J316)</f>
        <v>81105.739531250001</v>
      </c>
    </row>
    <row r="318" spans="1:15" x14ac:dyDescent="0.25">
      <c r="A318" s="1" t="s">
        <v>2</v>
      </c>
      <c r="B318" s="1" t="s">
        <v>2</v>
      </c>
      <c r="C318" s="1" t="s">
        <v>2</v>
      </c>
      <c r="D318" s="1" t="s">
        <v>2</v>
      </c>
      <c r="E318" s="1"/>
      <c r="F318" s="1"/>
      <c r="G318" s="1"/>
      <c r="H318" s="1"/>
      <c r="I318" s="1" t="s">
        <v>2</v>
      </c>
      <c r="J318" s="305" t="s">
        <v>2</v>
      </c>
    </row>
    <row r="319" spans="1:15" ht="15" customHeight="1" x14ac:dyDescent="0.25">
      <c r="A319" s="1" t="s">
        <v>23</v>
      </c>
      <c r="B319" s="1" t="s">
        <v>2</v>
      </c>
      <c r="J319" s="92"/>
    </row>
    <row r="320" spans="1:15" ht="15" customHeight="1" x14ac:dyDescent="0.25">
      <c r="A320" s="2" t="s">
        <v>24</v>
      </c>
      <c r="B320" s="2" t="s">
        <v>25</v>
      </c>
      <c r="C320" s="3">
        <v>0</v>
      </c>
      <c r="D320" s="3">
        <v>0</v>
      </c>
      <c r="E320" s="3">
        <v>0</v>
      </c>
      <c r="F320" s="3"/>
      <c r="G320" s="3">
        <v>0</v>
      </c>
      <c r="H320" s="3">
        <f>G320/11*12</f>
        <v>0</v>
      </c>
      <c r="I320" s="3">
        <v>0</v>
      </c>
      <c r="J320" s="302">
        <v>0</v>
      </c>
      <c r="K320" s="243" t="s">
        <v>4059</v>
      </c>
    </row>
    <row r="321" spans="1:15" ht="15" customHeight="1" x14ac:dyDescent="0.25">
      <c r="A321" s="2" t="s">
        <v>26</v>
      </c>
      <c r="B321" s="2" t="s">
        <v>27</v>
      </c>
      <c r="C321" s="3">
        <v>137143.41</v>
      </c>
      <c r="D321" s="3">
        <v>67842.759999999995</v>
      </c>
      <c r="E321" s="3">
        <v>125365.26</v>
      </c>
      <c r="F321" s="3"/>
      <c r="G321" s="3">
        <v>147407.37</v>
      </c>
      <c r="H321" s="3">
        <f t="shared" ref="H321:H345" si="24">G321/11*12</f>
        <v>160808.04</v>
      </c>
      <c r="I321" s="3">
        <v>192584.08</v>
      </c>
      <c r="J321" s="302">
        <v>220437.88</v>
      </c>
    </row>
    <row r="322" spans="1:15" ht="15" customHeight="1" x14ac:dyDescent="0.25">
      <c r="A322" s="2" t="s">
        <v>28</v>
      </c>
      <c r="B322" s="2" t="s">
        <v>29</v>
      </c>
      <c r="C322" s="3">
        <v>23814.3</v>
      </c>
      <c r="D322" s="3">
        <v>11566.52</v>
      </c>
      <c r="E322" s="3">
        <v>19982.080000000002</v>
      </c>
      <c r="F322" s="3"/>
      <c r="G322" s="3">
        <v>23137.91</v>
      </c>
      <c r="H322" s="3">
        <f t="shared" si="24"/>
        <v>25241.356363636361</v>
      </c>
      <c r="I322" s="3">
        <v>54909.78</v>
      </c>
      <c r="J322" s="302">
        <v>26779.65</v>
      </c>
      <c r="K322" s="306"/>
      <c r="L322" s="92"/>
      <c r="M322" s="92"/>
      <c r="N322" s="92"/>
      <c r="O322" s="92"/>
    </row>
    <row r="323" spans="1:15" ht="15" customHeight="1" x14ac:dyDescent="0.25">
      <c r="A323" s="2" t="s">
        <v>30</v>
      </c>
      <c r="B323" s="2" t="s">
        <v>31</v>
      </c>
      <c r="C323" s="3">
        <v>514.64</v>
      </c>
      <c r="D323" s="3">
        <v>224.8</v>
      </c>
      <c r="E323" s="3">
        <v>403.73</v>
      </c>
      <c r="F323" s="3"/>
      <c r="G323" s="3">
        <v>476.73</v>
      </c>
      <c r="H323" s="3">
        <f t="shared" si="24"/>
        <v>520.06909090909096</v>
      </c>
      <c r="I323" s="3">
        <v>693.7</v>
      </c>
      <c r="J323" s="302">
        <v>628.52</v>
      </c>
    </row>
    <row r="324" spans="1:15" ht="15" customHeight="1" x14ac:dyDescent="0.25">
      <c r="A324" s="2" t="s">
        <v>32</v>
      </c>
      <c r="B324" s="2" t="s">
        <v>33</v>
      </c>
      <c r="C324" s="3">
        <v>17954.310000000001</v>
      </c>
      <c r="D324" s="3">
        <v>7926.35</v>
      </c>
      <c r="E324" s="3">
        <v>13893.7</v>
      </c>
      <c r="F324" s="3"/>
      <c r="G324" s="3">
        <v>16150.22</v>
      </c>
      <c r="H324" s="3">
        <f t="shared" si="24"/>
        <v>17618.421818181818</v>
      </c>
      <c r="I324" s="3">
        <v>23416.18</v>
      </c>
      <c r="J324" s="302">
        <v>19061.68</v>
      </c>
    </row>
    <row r="325" spans="1:15" ht="15" customHeight="1" x14ac:dyDescent="0.25">
      <c r="A325" s="2" t="s">
        <v>34</v>
      </c>
      <c r="B325" s="2" t="s">
        <v>11</v>
      </c>
      <c r="C325" s="3">
        <v>10353.52</v>
      </c>
      <c r="D325" s="3">
        <v>5124.08</v>
      </c>
      <c r="E325" s="3">
        <v>9476.7199999999993</v>
      </c>
      <c r="F325" s="3"/>
      <c r="G325" s="3">
        <v>11145.01</v>
      </c>
      <c r="H325" s="3">
        <f t="shared" si="24"/>
        <v>12158.192727272728</v>
      </c>
      <c r="I325" s="3">
        <v>14732.68</v>
      </c>
      <c r="J325" s="302">
        <v>16863.5</v>
      </c>
    </row>
    <row r="326" spans="1:15" ht="15" customHeight="1" x14ac:dyDescent="0.25">
      <c r="A326" s="2" t="s">
        <v>35</v>
      </c>
      <c r="B326" s="2" t="s">
        <v>13</v>
      </c>
      <c r="C326" s="3">
        <v>201.06</v>
      </c>
      <c r="D326" s="3">
        <v>145.07</v>
      </c>
      <c r="E326" s="3">
        <v>267.27999999999997</v>
      </c>
      <c r="F326" s="3"/>
      <c r="G326" s="3">
        <v>302.93</v>
      </c>
      <c r="H326" s="3">
        <f t="shared" si="24"/>
        <v>330.46909090909094</v>
      </c>
      <c r="I326" s="3">
        <v>283.10000000000002</v>
      </c>
      <c r="J326" s="302">
        <v>480.38</v>
      </c>
    </row>
    <row r="327" spans="1:15" ht="15" customHeight="1" x14ac:dyDescent="0.25">
      <c r="A327" s="2" t="s">
        <v>36</v>
      </c>
      <c r="B327" s="2" t="s">
        <v>37</v>
      </c>
      <c r="C327" s="3">
        <v>3039.06</v>
      </c>
      <c r="D327" s="3">
        <v>321.20999999999998</v>
      </c>
      <c r="E327" s="3">
        <v>1277.6600000000001</v>
      </c>
      <c r="F327" s="3"/>
      <c r="G327" s="3">
        <v>1615.22</v>
      </c>
      <c r="H327" s="3">
        <f t="shared" si="24"/>
        <v>1762.0581818181818</v>
      </c>
      <c r="I327" s="3">
        <v>4000</v>
      </c>
      <c r="J327" s="5">
        <v>4500</v>
      </c>
    </row>
    <row r="328" spans="1:15" ht="15" customHeight="1" x14ac:dyDescent="0.25">
      <c r="A328" s="2" t="s">
        <v>38</v>
      </c>
      <c r="B328" s="2" t="s">
        <v>39</v>
      </c>
      <c r="C328" s="3">
        <v>42.4</v>
      </c>
      <c r="D328" s="3">
        <v>42.96</v>
      </c>
      <c r="E328" s="3">
        <v>198.96</v>
      </c>
      <c r="F328" s="3"/>
      <c r="G328" s="3">
        <v>198.96</v>
      </c>
      <c r="H328" s="3">
        <f t="shared" si="24"/>
        <v>217.04727272727274</v>
      </c>
      <c r="I328" s="3">
        <v>3800</v>
      </c>
      <c r="J328" s="5">
        <v>3800</v>
      </c>
    </row>
    <row r="329" spans="1:15" x14ac:dyDescent="0.25">
      <c r="A329" s="2" t="s">
        <v>40</v>
      </c>
      <c r="B329" s="2" t="s">
        <v>41</v>
      </c>
      <c r="C329" s="3">
        <v>7206.84</v>
      </c>
      <c r="D329" s="3">
        <v>6459.61</v>
      </c>
      <c r="E329" s="3">
        <v>6459.61</v>
      </c>
      <c r="F329" s="3"/>
      <c r="G329" s="3">
        <v>6058.4</v>
      </c>
      <c r="H329" s="3">
        <f t="shared" si="24"/>
        <v>6609.1636363636362</v>
      </c>
      <c r="I329" s="3">
        <v>6459.61</v>
      </c>
      <c r="J329" s="5">
        <f>'Computer '!D6</f>
        <v>7206.8408724385226</v>
      </c>
    </row>
    <row r="330" spans="1:15" ht="15" customHeight="1" x14ac:dyDescent="0.25">
      <c r="A330" s="2" t="s">
        <v>42</v>
      </c>
      <c r="B330" s="2" t="s">
        <v>43</v>
      </c>
      <c r="C330" s="3">
        <v>4490.8500000000004</v>
      </c>
      <c r="D330" s="3">
        <v>3901.26</v>
      </c>
      <c r="E330" s="3">
        <v>3901.26</v>
      </c>
      <c r="F330" s="3"/>
      <c r="G330" s="3">
        <v>3576.15</v>
      </c>
      <c r="H330" s="3">
        <f t="shared" si="24"/>
        <v>3901.2545454545457</v>
      </c>
      <c r="I330" s="3">
        <v>3901.26</v>
      </c>
      <c r="J330" s="5">
        <f>Equipment!$C$5</f>
        <v>4490.8539189189196</v>
      </c>
    </row>
    <row r="331" spans="1:15" ht="15" customHeight="1" x14ac:dyDescent="0.25">
      <c r="A331" s="2" t="s">
        <v>44</v>
      </c>
      <c r="B331" s="2" t="s">
        <v>45</v>
      </c>
      <c r="C331" s="3">
        <v>147204</v>
      </c>
      <c r="D331" s="3">
        <v>54326</v>
      </c>
      <c r="E331" s="3">
        <v>110052</v>
      </c>
      <c r="F331" s="3"/>
      <c r="G331" s="3">
        <v>137040</v>
      </c>
      <c r="H331" s="3">
        <f t="shared" si="24"/>
        <v>149498.18181818182</v>
      </c>
      <c r="I331" s="3">
        <v>145000</v>
      </c>
      <c r="J331" s="5">
        <v>170000</v>
      </c>
    </row>
    <row r="332" spans="1:15" ht="15" customHeight="1" x14ac:dyDescent="0.25">
      <c r="A332" s="2" t="s">
        <v>46</v>
      </c>
      <c r="B332" s="2" t="s">
        <v>47</v>
      </c>
      <c r="C332" s="3">
        <v>99480</v>
      </c>
      <c r="D332" s="3">
        <v>34425</v>
      </c>
      <c r="E332" s="3">
        <v>70440</v>
      </c>
      <c r="F332" s="3"/>
      <c r="G332" s="3">
        <v>89070</v>
      </c>
      <c r="H332" s="3">
        <f t="shared" si="24"/>
        <v>97167.272727272721</v>
      </c>
      <c r="I332" s="3">
        <v>108000</v>
      </c>
      <c r="J332" s="302">
        <v>108000</v>
      </c>
    </row>
    <row r="333" spans="1:15" ht="15" customHeight="1" x14ac:dyDescent="0.25">
      <c r="A333" s="2" t="s">
        <v>48</v>
      </c>
      <c r="B333" s="2" t="s">
        <v>49</v>
      </c>
      <c r="C333" s="3">
        <v>16161.82</v>
      </c>
      <c r="D333" s="3">
        <v>3870.63</v>
      </c>
      <c r="E333" s="3">
        <v>7546.05</v>
      </c>
      <c r="F333" s="3"/>
      <c r="G333" s="3">
        <v>11453.62</v>
      </c>
      <c r="H333" s="3">
        <f t="shared" si="24"/>
        <v>12494.858181818181</v>
      </c>
      <c r="I333" s="3">
        <v>11000</v>
      </c>
      <c r="J333" s="302">
        <v>11000</v>
      </c>
    </row>
    <row r="334" spans="1:15" ht="15" customHeight="1" x14ac:dyDescent="0.25">
      <c r="A334" s="2" t="s">
        <v>50</v>
      </c>
      <c r="B334" s="2" t="s">
        <v>51</v>
      </c>
      <c r="C334" s="3">
        <v>9993.7999999999993</v>
      </c>
      <c r="D334" s="3">
        <v>3500</v>
      </c>
      <c r="E334" s="3">
        <v>8326.25</v>
      </c>
      <c r="F334" s="3"/>
      <c r="G334" s="3">
        <v>9216.25</v>
      </c>
      <c r="H334" s="3">
        <f t="shared" si="24"/>
        <v>10054.09090909091</v>
      </c>
      <c r="I334" s="3">
        <v>5500</v>
      </c>
      <c r="J334" s="302">
        <v>15000</v>
      </c>
    </row>
    <row r="335" spans="1:15" ht="15" customHeight="1" x14ac:dyDescent="0.25">
      <c r="A335" s="2" t="s">
        <v>52</v>
      </c>
      <c r="B335" s="2" t="s">
        <v>53</v>
      </c>
      <c r="C335" s="3">
        <v>3132.02</v>
      </c>
      <c r="D335" s="3">
        <v>1113.7</v>
      </c>
      <c r="E335" s="3">
        <v>1980.1</v>
      </c>
      <c r="F335" s="3"/>
      <c r="G335" s="3">
        <v>2339.65</v>
      </c>
      <c r="H335" s="3">
        <f t="shared" si="24"/>
        <v>2552.3454545454547</v>
      </c>
      <c r="I335" s="3">
        <v>3200</v>
      </c>
      <c r="J335" s="302">
        <v>4500</v>
      </c>
    </row>
    <row r="336" spans="1:15" ht="15" customHeight="1" x14ac:dyDescent="0.25">
      <c r="A336" s="2" t="s">
        <v>54</v>
      </c>
      <c r="B336" s="2" t="s">
        <v>55</v>
      </c>
      <c r="C336" s="3">
        <v>26566.75</v>
      </c>
      <c r="D336" s="3">
        <v>11531</v>
      </c>
      <c r="E336" s="3">
        <v>19143.7</v>
      </c>
      <c r="F336" s="3"/>
      <c r="G336" s="3">
        <v>23422.7</v>
      </c>
      <c r="H336" s="3">
        <f t="shared" si="24"/>
        <v>25552.036363636365</v>
      </c>
      <c r="I336" s="3">
        <v>40000</v>
      </c>
      <c r="J336" s="302">
        <v>40000</v>
      </c>
    </row>
    <row r="337" spans="1:14" ht="15" customHeight="1" x14ac:dyDescent="0.25">
      <c r="A337" s="2" t="s">
        <v>56</v>
      </c>
      <c r="B337" s="2" t="s">
        <v>57</v>
      </c>
      <c r="C337" s="3">
        <v>635.45000000000005</v>
      </c>
      <c r="D337" s="3">
        <v>211.98</v>
      </c>
      <c r="E337" s="3">
        <v>424.17</v>
      </c>
      <c r="F337" s="3"/>
      <c r="G337" s="3">
        <v>530.09</v>
      </c>
      <c r="H337" s="3">
        <f t="shared" si="24"/>
        <v>578.28000000000009</v>
      </c>
      <c r="I337" s="3">
        <v>660</v>
      </c>
      <c r="J337" s="302">
        <f>Phone!$C$5</f>
        <v>600</v>
      </c>
    </row>
    <row r="338" spans="1:14" ht="15" customHeight="1" x14ac:dyDescent="0.25">
      <c r="A338" s="2" t="s">
        <v>58</v>
      </c>
      <c r="B338" s="2" t="s">
        <v>59</v>
      </c>
      <c r="C338" s="3">
        <v>2092.85</v>
      </c>
      <c r="D338" s="3">
        <v>776.24</v>
      </c>
      <c r="E338" s="3">
        <v>1576.24</v>
      </c>
      <c r="F338" s="3"/>
      <c r="G338" s="3">
        <v>1876.24</v>
      </c>
      <c r="H338" s="3">
        <f t="shared" si="24"/>
        <v>2046.8072727272727</v>
      </c>
      <c r="I338" s="3">
        <v>2500</v>
      </c>
      <c r="J338" s="302">
        <v>3000</v>
      </c>
    </row>
    <row r="339" spans="1:14" ht="15" customHeight="1" x14ac:dyDescent="0.25">
      <c r="A339" s="2" t="s">
        <v>60</v>
      </c>
      <c r="B339" s="2" t="s">
        <v>17</v>
      </c>
      <c r="C339" s="3">
        <v>0</v>
      </c>
      <c r="D339" s="3">
        <v>0</v>
      </c>
      <c r="E339" s="3">
        <v>0</v>
      </c>
      <c r="F339" s="3"/>
      <c r="G339" s="3">
        <v>0</v>
      </c>
      <c r="H339" s="3">
        <f t="shared" si="24"/>
        <v>0</v>
      </c>
      <c r="I339" s="3">
        <v>2000</v>
      </c>
      <c r="J339" s="302">
        <v>2000</v>
      </c>
    </row>
    <row r="340" spans="1:14" ht="15" customHeight="1" x14ac:dyDescent="0.25">
      <c r="A340" s="2" t="s">
        <v>61</v>
      </c>
      <c r="B340" s="2" t="s">
        <v>62</v>
      </c>
      <c r="C340" s="3">
        <v>3295.27</v>
      </c>
      <c r="D340" s="3">
        <v>1543.75</v>
      </c>
      <c r="E340" s="3">
        <v>2378.69</v>
      </c>
      <c r="F340" s="3"/>
      <c r="G340" s="3">
        <v>3239.69</v>
      </c>
      <c r="H340" s="3">
        <f t="shared" si="24"/>
        <v>3534.2072727272725</v>
      </c>
      <c r="I340" s="3">
        <v>3900</v>
      </c>
      <c r="J340" s="5">
        <v>4000</v>
      </c>
    </row>
    <row r="341" spans="1:14" ht="15" customHeight="1" x14ac:dyDescent="0.25">
      <c r="A341" s="2" t="s">
        <v>63</v>
      </c>
      <c r="B341" s="2" t="s">
        <v>64</v>
      </c>
      <c r="C341" s="3">
        <v>4359.79</v>
      </c>
      <c r="D341" s="3">
        <v>313.14</v>
      </c>
      <c r="E341" s="3">
        <v>1598.94</v>
      </c>
      <c r="F341" s="3"/>
      <c r="G341" s="3">
        <v>1766.05</v>
      </c>
      <c r="H341" s="3">
        <f t="shared" si="24"/>
        <v>1926.6</v>
      </c>
      <c r="I341" s="3">
        <v>3000</v>
      </c>
      <c r="J341" s="5">
        <v>4500</v>
      </c>
    </row>
    <row r="342" spans="1:14" ht="15" customHeight="1" x14ac:dyDescent="0.25">
      <c r="A342" s="2" t="s">
        <v>65</v>
      </c>
      <c r="B342" s="2" t="s">
        <v>66</v>
      </c>
      <c r="C342" s="3">
        <v>0</v>
      </c>
      <c r="D342" s="3">
        <v>0</v>
      </c>
      <c r="E342" s="3">
        <v>0</v>
      </c>
      <c r="F342" s="3"/>
      <c r="G342" s="3">
        <v>0</v>
      </c>
      <c r="H342" s="3">
        <f t="shared" si="24"/>
        <v>0</v>
      </c>
      <c r="I342" s="3">
        <v>3000</v>
      </c>
      <c r="J342" s="5">
        <v>4000</v>
      </c>
    </row>
    <row r="343" spans="1:14" x14ac:dyDescent="0.25">
      <c r="A343" s="2" t="s">
        <v>67</v>
      </c>
      <c r="B343" s="2" t="s">
        <v>68</v>
      </c>
      <c r="C343" s="3">
        <v>259.5</v>
      </c>
      <c r="D343" s="3">
        <v>310.72000000000003</v>
      </c>
      <c r="E343" s="3">
        <v>310.72000000000003</v>
      </c>
      <c r="F343" s="3"/>
      <c r="G343" s="3">
        <v>310.72000000000003</v>
      </c>
      <c r="H343" s="3">
        <f t="shared" si="24"/>
        <v>338.96727272727276</v>
      </c>
      <c r="I343" s="3">
        <v>1000</v>
      </c>
      <c r="J343" s="5">
        <v>1000</v>
      </c>
    </row>
    <row r="344" spans="1:14" ht="15" customHeight="1" x14ac:dyDescent="0.25">
      <c r="A344" s="2" t="s">
        <v>69</v>
      </c>
      <c r="B344" s="2" t="s">
        <v>70</v>
      </c>
      <c r="C344" s="3">
        <v>325</v>
      </c>
      <c r="D344" s="3">
        <v>400</v>
      </c>
      <c r="E344" s="3">
        <v>400</v>
      </c>
      <c r="F344" s="3"/>
      <c r="G344" s="3">
        <v>400</v>
      </c>
      <c r="H344" s="3">
        <f t="shared" si="24"/>
        <v>436.36363636363637</v>
      </c>
      <c r="I344" s="3">
        <v>400</v>
      </c>
      <c r="J344" s="5">
        <v>500</v>
      </c>
    </row>
    <row r="345" spans="1:14" ht="15" customHeight="1" x14ac:dyDescent="0.25">
      <c r="A345" s="2" t="s">
        <v>71</v>
      </c>
      <c r="B345" s="2" t="s">
        <v>72</v>
      </c>
      <c r="C345" s="3">
        <v>627.78</v>
      </c>
      <c r="D345" s="3">
        <v>34.82</v>
      </c>
      <c r="E345" s="3">
        <v>34.82</v>
      </c>
      <c r="F345" s="3"/>
      <c r="G345" s="3">
        <v>719.17</v>
      </c>
      <c r="H345" s="3">
        <f t="shared" si="24"/>
        <v>784.54909090909086</v>
      </c>
      <c r="I345" s="3">
        <v>1000</v>
      </c>
      <c r="J345" s="5">
        <v>1000</v>
      </c>
    </row>
    <row r="346" spans="1:14" ht="15" customHeight="1" x14ac:dyDescent="0.25">
      <c r="A346" s="1" t="s">
        <v>73</v>
      </c>
      <c r="B346" s="1" t="s">
        <v>2</v>
      </c>
      <c r="C346" s="6">
        <v>518894.42</v>
      </c>
      <c r="D346" s="6">
        <v>215911.6</v>
      </c>
      <c r="E346" s="6">
        <f>SUM(E320:E345)</f>
        <v>405437.93999999994</v>
      </c>
      <c r="F346" s="6"/>
      <c r="G346" s="6">
        <f>SUM(G320:G345)</f>
        <v>491453.08</v>
      </c>
      <c r="H346" s="6">
        <f>SUM(H320:H345)</f>
        <v>536130.63272727258</v>
      </c>
      <c r="I346" s="6">
        <f>SUM(I320:I345)</f>
        <v>634940.3899999999</v>
      </c>
      <c r="J346" s="6">
        <f>SUM(J320:J345)</f>
        <v>673349.30479135737</v>
      </c>
    </row>
    <row r="347" spans="1:14" x14ac:dyDescent="0.25">
      <c r="A347" s="1" t="s">
        <v>2</v>
      </c>
      <c r="B347" s="1" t="s">
        <v>2</v>
      </c>
      <c r="C347" s="1" t="s">
        <v>2</v>
      </c>
      <c r="D347" s="1" t="s">
        <v>2</v>
      </c>
      <c r="E347" s="1"/>
      <c r="F347" s="1"/>
      <c r="G347" s="1"/>
      <c r="H347" s="1"/>
      <c r="I347" s="1" t="s">
        <v>2</v>
      </c>
      <c r="J347" s="1" t="s">
        <v>2</v>
      </c>
    </row>
    <row r="348" spans="1:14" x14ac:dyDescent="0.25">
      <c r="A348" s="1" t="s">
        <v>74</v>
      </c>
      <c r="B348" s="1" t="s">
        <v>2</v>
      </c>
      <c r="J348" s="92"/>
    </row>
    <row r="349" spans="1:14" x14ac:dyDescent="0.25">
      <c r="A349" s="1"/>
      <c r="B349" s="1"/>
      <c r="J349" s="92"/>
    </row>
    <row r="350" spans="1:14" ht="15" customHeight="1" x14ac:dyDescent="0.25">
      <c r="A350" s="2" t="s">
        <v>77</v>
      </c>
      <c r="B350" s="2" t="s">
        <v>78</v>
      </c>
      <c r="C350" s="3">
        <v>29109</v>
      </c>
      <c r="D350" s="3">
        <v>14975</v>
      </c>
      <c r="E350" s="3">
        <v>25895</v>
      </c>
      <c r="F350" s="3"/>
      <c r="G350" s="3">
        <v>29990</v>
      </c>
      <c r="H350" s="3">
        <f>G350/11*12</f>
        <v>32716.36363636364</v>
      </c>
      <c r="I350" s="3">
        <v>32760</v>
      </c>
      <c r="J350" s="302">
        <v>33744</v>
      </c>
    </row>
    <row r="351" spans="1:14" x14ac:dyDescent="0.25">
      <c r="A351" s="1"/>
      <c r="B351" s="1"/>
      <c r="J351" s="92"/>
    </row>
    <row r="352" spans="1:14" ht="15" customHeight="1" x14ac:dyDescent="0.25">
      <c r="A352" s="2" t="s">
        <v>75</v>
      </c>
      <c r="B352" s="2" t="s">
        <v>76</v>
      </c>
      <c r="C352" s="3">
        <v>144128.06</v>
      </c>
      <c r="D352" s="3">
        <v>66459.25</v>
      </c>
      <c r="E352" s="3">
        <v>115014.25</v>
      </c>
      <c r="F352" s="3"/>
      <c r="G352" s="3">
        <v>133224.25</v>
      </c>
      <c r="H352" s="3">
        <f>G352/11*12</f>
        <v>145335.54545454544</v>
      </c>
      <c r="I352" s="3">
        <v>154024.78</v>
      </c>
      <c r="J352" s="302">
        <f>200841.87-J350</f>
        <v>167097.87</v>
      </c>
      <c r="K352" s="306"/>
      <c r="L352" s="92"/>
      <c r="M352" s="92"/>
      <c r="N352" s="92"/>
    </row>
    <row r="353" spans="1:11" ht="15" customHeight="1" x14ac:dyDescent="0.25">
      <c r="A353" s="2" t="s">
        <v>79</v>
      </c>
      <c r="B353" s="2" t="s">
        <v>29</v>
      </c>
      <c r="C353" s="3">
        <v>28576.01</v>
      </c>
      <c r="D353" s="3">
        <v>13769.95</v>
      </c>
      <c r="E353" s="3">
        <v>23786.23</v>
      </c>
      <c r="F353" s="3"/>
      <c r="G353" s="3">
        <v>27542.33</v>
      </c>
      <c r="H353" s="3">
        <f t="shared" ref="H353:H368" si="25">G353/11*12</f>
        <v>30046.178181818184</v>
      </c>
      <c r="I353" s="3">
        <v>30409.39</v>
      </c>
      <c r="J353" s="302">
        <v>31272.15</v>
      </c>
    </row>
    <row r="354" spans="1:11" ht="15" customHeight="1" x14ac:dyDescent="0.25">
      <c r="A354" s="2" t="s">
        <v>80</v>
      </c>
      <c r="B354" s="2" t="s">
        <v>81</v>
      </c>
      <c r="C354" s="3">
        <v>256.43</v>
      </c>
      <c r="D354" s="3">
        <v>107.6</v>
      </c>
      <c r="E354" s="3">
        <v>184.81</v>
      </c>
      <c r="F354" s="3"/>
      <c r="G354" s="3">
        <v>217.16</v>
      </c>
      <c r="H354" s="3">
        <f t="shared" si="25"/>
        <v>236.90181818181819</v>
      </c>
      <c r="I354" s="3">
        <v>277.48</v>
      </c>
      <c r="J354" s="302">
        <v>251.41</v>
      </c>
    </row>
    <row r="355" spans="1:11" ht="15" customHeight="1" x14ac:dyDescent="0.25">
      <c r="A355" s="2" t="s">
        <v>82</v>
      </c>
      <c r="B355" s="2" t="s">
        <v>11</v>
      </c>
      <c r="C355" s="3">
        <v>13488.9</v>
      </c>
      <c r="D355" s="3">
        <v>6179.51</v>
      </c>
      <c r="E355" s="3">
        <v>10692.81</v>
      </c>
      <c r="F355" s="3"/>
      <c r="G355" s="3">
        <v>12385.44</v>
      </c>
      <c r="H355" s="3">
        <f t="shared" si="25"/>
        <v>13511.389090909091</v>
      </c>
      <c r="I355" s="3">
        <v>13593.1</v>
      </c>
      <c r="J355" s="302">
        <v>13857.94</v>
      </c>
    </row>
    <row r="356" spans="1:11" ht="15" customHeight="1" x14ac:dyDescent="0.25">
      <c r="A356" s="2" t="s">
        <v>83</v>
      </c>
      <c r="B356" s="2" t="s">
        <v>33</v>
      </c>
      <c r="C356" s="3">
        <v>19911.939999999999</v>
      </c>
      <c r="D356" s="3">
        <v>8462.0499999999993</v>
      </c>
      <c r="E356" s="3">
        <v>14655.95</v>
      </c>
      <c r="F356" s="3"/>
      <c r="G356" s="3">
        <v>16997.96</v>
      </c>
      <c r="H356" s="3">
        <f t="shared" si="25"/>
        <v>18543.229090909092</v>
      </c>
      <c r="I356" s="3">
        <v>18526.05</v>
      </c>
      <c r="J356" s="302">
        <v>20014.12</v>
      </c>
    </row>
    <row r="357" spans="1:11" ht="15" customHeight="1" x14ac:dyDescent="0.25">
      <c r="A357" s="2" t="s">
        <v>84</v>
      </c>
      <c r="B357" s="2" t="s">
        <v>85</v>
      </c>
      <c r="C357" s="3">
        <v>0</v>
      </c>
      <c r="D357" s="3">
        <v>0</v>
      </c>
      <c r="E357" s="3">
        <v>0</v>
      </c>
      <c r="F357" s="3"/>
      <c r="G357" s="3">
        <v>0</v>
      </c>
      <c r="H357" s="3">
        <f t="shared" si="25"/>
        <v>0</v>
      </c>
      <c r="I357" s="3">
        <v>0</v>
      </c>
      <c r="J357" s="302">
        <f t="shared" ref="J357" si="26">H357*1.055</f>
        <v>0</v>
      </c>
    </row>
    <row r="358" spans="1:11" ht="15" customHeight="1" x14ac:dyDescent="0.25">
      <c r="A358" s="2" t="s">
        <v>86</v>
      </c>
      <c r="B358" s="2" t="s">
        <v>13</v>
      </c>
      <c r="C358" s="3">
        <v>252.08</v>
      </c>
      <c r="D358" s="3">
        <v>173.91</v>
      </c>
      <c r="E358" s="3">
        <v>300.29000000000002</v>
      </c>
      <c r="F358" s="3"/>
      <c r="G358" s="3">
        <v>336.32</v>
      </c>
      <c r="H358" s="3">
        <f t="shared" si="25"/>
        <v>366.89454545454544</v>
      </c>
      <c r="I358" s="3">
        <v>274.57</v>
      </c>
      <c r="J358" s="302">
        <v>418.36</v>
      </c>
    </row>
    <row r="359" spans="1:11" ht="15" customHeight="1" x14ac:dyDescent="0.25">
      <c r="A359" s="2" t="s">
        <v>87</v>
      </c>
      <c r="B359" s="2" t="s">
        <v>88</v>
      </c>
      <c r="C359" s="3">
        <v>61.61</v>
      </c>
      <c r="D359" s="3">
        <v>95.55</v>
      </c>
      <c r="E359" s="3">
        <v>95.55</v>
      </c>
      <c r="F359" s="3"/>
      <c r="G359" s="3">
        <v>95.55</v>
      </c>
      <c r="H359" s="3">
        <f t="shared" si="25"/>
        <v>104.23636363636362</v>
      </c>
      <c r="I359" s="3">
        <v>400</v>
      </c>
      <c r="J359" s="302">
        <v>400</v>
      </c>
    </row>
    <row r="360" spans="1:11" ht="15" customHeight="1" x14ac:dyDescent="0.25">
      <c r="A360" s="2" t="s">
        <v>89</v>
      </c>
      <c r="B360" s="2" t="s">
        <v>90</v>
      </c>
      <c r="C360" s="3">
        <v>0</v>
      </c>
      <c r="D360" s="3">
        <v>0</v>
      </c>
      <c r="E360" s="3">
        <v>0</v>
      </c>
      <c r="F360" s="3"/>
      <c r="G360" s="3">
        <v>0</v>
      </c>
      <c r="H360" s="3">
        <f t="shared" si="25"/>
        <v>0</v>
      </c>
      <c r="I360" s="3">
        <v>300</v>
      </c>
      <c r="J360" s="5">
        <v>300</v>
      </c>
    </row>
    <row r="361" spans="1:11" ht="15" customHeight="1" x14ac:dyDescent="0.25">
      <c r="A361" s="2" t="s">
        <v>91</v>
      </c>
      <c r="B361" s="2" t="s">
        <v>92</v>
      </c>
      <c r="C361" s="3">
        <v>0</v>
      </c>
      <c r="D361" s="3">
        <v>41.43</v>
      </c>
      <c r="E361" s="3">
        <v>41.43</v>
      </c>
      <c r="F361" s="3"/>
      <c r="G361" s="3">
        <v>37.97</v>
      </c>
      <c r="H361" s="3">
        <f t="shared" si="25"/>
        <v>41.421818181818182</v>
      </c>
      <c r="I361" s="3">
        <v>41.43</v>
      </c>
      <c r="J361" s="5">
        <f>Equipment!$C$6</f>
        <v>0</v>
      </c>
    </row>
    <row r="362" spans="1:11" x14ac:dyDescent="0.25">
      <c r="A362" s="2" t="s">
        <v>93</v>
      </c>
      <c r="B362" s="2" t="s">
        <v>41</v>
      </c>
      <c r="C362" s="3">
        <v>3163.74</v>
      </c>
      <c r="D362" s="3">
        <v>6344.84</v>
      </c>
      <c r="E362" s="3">
        <v>6344.84</v>
      </c>
      <c r="F362" s="3"/>
      <c r="G362" s="3">
        <v>5816.11</v>
      </c>
      <c r="H362" s="3">
        <f t="shared" si="25"/>
        <v>6344.8472727272729</v>
      </c>
      <c r="I362" s="3">
        <v>6344.84</v>
      </c>
      <c r="J362" s="5">
        <f>'Computer '!D7</f>
        <v>3163.7404026639333</v>
      </c>
    </row>
    <row r="363" spans="1:11" ht="15" customHeight="1" x14ac:dyDescent="0.25">
      <c r="A363" s="2" t="s">
        <v>94</v>
      </c>
      <c r="B363" s="2" t="s">
        <v>95</v>
      </c>
      <c r="C363" s="3">
        <v>5614.96</v>
      </c>
      <c r="D363" s="3">
        <v>9301.82</v>
      </c>
      <c r="E363" s="3">
        <v>15963.05</v>
      </c>
      <c r="F363" s="3"/>
      <c r="G363" s="3">
        <v>15963.05</v>
      </c>
      <c r="H363" s="3">
        <f t="shared" si="25"/>
        <v>17414.236363636363</v>
      </c>
      <c r="I363" s="3">
        <v>15000</v>
      </c>
      <c r="J363" s="5">
        <v>70000</v>
      </c>
      <c r="K363" s="243" t="s">
        <v>3403</v>
      </c>
    </row>
    <row r="364" spans="1:11" ht="15" customHeight="1" x14ac:dyDescent="0.25">
      <c r="A364" s="2" t="s">
        <v>96</v>
      </c>
      <c r="B364" s="2" t="s">
        <v>97</v>
      </c>
      <c r="C364" s="3">
        <v>25200</v>
      </c>
      <c r="D364" s="3">
        <v>8800</v>
      </c>
      <c r="E364" s="3">
        <v>17600</v>
      </c>
      <c r="F364" s="3"/>
      <c r="G364" s="3">
        <v>28050</v>
      </c>
      <c r="H364" s="3">
        <f t="shared" si="25"/>
        <v>30600</v>
      </c>
      <c r="I364" s="3">
        <v>25000</v>
      </c>
      <c r="J364" s="5">
        <v>85000</v>
      </c>
      <c r="K364" s="243" t="s">
        <v>3404</v>
      </c>
    </row>
    <row r="365" spans="1:11" ht="15" customHeight="1" x14ac:dyDescent="0.25">
      <c r="A365" s="2" t="s">
        <v>98</v>
      </c>
      <c r="B365" s="2" t="s">
        <v>99</v>
      </c>
      <c r="C365" s="3">
        <v>826.21</v>
      </c>
      <c r="D365" s="3">
        <v>275.48</v>
      </c>
      <c r="E365" s="3">
        <v>551.26</v>
      </c>
      <c r="F365" s="3"/>
      <c r="G365" s="3">
        <v>688.96</v>
      </c>
      <c r="H365" s="3">
        <f t="shared" si="25"/>
        <v>751.5927272727273</v>
      </c>
      <c r="I365" s="3">
        <v>900</v>
      </c>
      <c r="J365" s="5">
        <f>Phone!$C$6</f>
        <v>900</v>
      </c>
    </row>
    <row r="366" spans="1:11" ht="15" customHeight="1" x14ac:dyDescent="0.25">
      <c r="A366" s="2" t="s">
        <v>100</v>
      </c>
      <c r="B366" s="2" t="s">
        <v>17</v>
      </c>
      <c r="C366" s="3">
        <v>0</v>
      </c>
      <c r="D366" s="3">
        <v>179.47</v>
      </c>
      <c r="E366" s="3">
        <v>1760.67</v>
      </c>
      <c r="F366" s="3"/>
      <c r="G366" s="3">
        <v>1760.67</v>
      </c>
      <c r="H366" s="3">
        <f t="shared" si="25"/>
        <v>1920.7309090909091</v>
      </c>
      <c r="I366" s="3">
        <v>3000</v>
      </c>
      <c r="J366" s="5">
        <v>6000</v>
      </c>
      <c r="K366" s="243" t="s">
        <v>3451</v>
      </c>
    </row>
    <row r="367" spans="1:11" ht="15" customHeight="1" x14ac:dyDescent="0.25">
      <c r="A367" s="2" t="s">
        <v>101</v>
      </c>
      <c r="B367" s="2" t="s">
        <v>64</v>
      </c>
      <c r="C367" s="3">
        <v>2528.29</v>
      </c>
      <c r="D367" s="3">
        <v>0</v>
      </c>
      <c r="E367" s="3">
        <v>134.86000000000001</v>
      </c>
      <c r="F367" s="3"/>
      <c r="G367" s="3">
        <v>134.86000000000001</v>
      </c>
      <c r="H367" s="3">
        <f t="shared" si="25"/>
        <v>147.12</v>
      </c>
      <c r="I367" s="3">
        <v>1600</v>
      </c>
      <c r="J367" s="5">
        <v>1600</v>
      </c>
    </row>
    <row r="368" spans="1:11" ht="15" customHeight="1" x14ac:dyDescent="0.25">
      <c r="A368" s="2" t="s">
        <v>102</v>
      </c>
      <c r="B368" s="2" t="s">
        <v>66</v>
      </c>
      <c r="C368" s="3">
        <v>599</v>
      </c>
      <c r="D368" s="3">
        <v>136</v>
      </c>
      <c r="E368" s="3">
        <v>1511</v>
      </c>
      <c r="F368" s="3"/>
      <c r="G368" s="3">
        <v>1511</v>
      </c>
      <c r="H368" s="3">
        <f t="shared" si="25"/>
        <v>1648.3636363636365</v>
      </c>
      <c r="I368" s="3">
        <v>2500</v>
      </c>
      <c r="J368" s="5">
        <v>3000</v>
      </c>
      <c r="K368" s="243" t="s">
        <v>3450</v>
      </c>
    </row>
    <row r="369" spans="1:11" x14ac:dyDescent="0.25">
      <c r="A369" s="2" t="s">
        <v>103</v>
      </c>
      <c r="B369" s="2" t="s">
        <v>104</v>
      </c>
      <c r="C369" s="3">
        <v>0</v>
      </c>
      <c r="D369" s="3">
        <v>0</v>
      </c>
      <c r="E369" s="3">
        <v>507.45</v>
      </c>
      <c r="F369" s="3"/>
      <c r="G369" s="3">
        <v>739.56</v>
      </c>
      <c r="H369" s="3">
        <f>G369/11*12</f>
        <v>806.79272727272723</v>
      </c>
      <c r="I369" s="3">
        <v>1200</v>
      </c>
      <c r="J369" s="5">
        <v>500</v>
      </c>
    </row>
    <row r="370" spans="1:11" ht="15" customHeight="1" x14ac:dyDescent="0.25">
      <c r="A370" s="1" t="s">
        <v>105</v>
      </c>
      <c r="B370" s="1" t="s">
        <v>2</v>
      </c>
      <c r="C370" s="6">
        <v>273716.23</v>
      </c>
      <c r="D370" s="6">
        <v>135301.85999999999</v>
      </c>
      <c r="E370" s="6">
        <f>SUM(E350:E369)</f>
        <v>235039.45</v>
      </c>
      <c r="F370" s="6"/>
      <c r="G370" s="6">
        <f>SUM(G350:G369)</f>
        <v>275491.19</v>
      </c>
      <c r="H370" s="6">
        <f>SUM(H350:H369)</f>
        <v>300535.84363636363</v>
      </c>
      <c r="I370" s="6">
        <f>SUM(I350:I369)</f>
        <v>306151.64</v>
      </c>
      <c r="J370" s="6">
        <f>SUM(J350:J369)</f>
        <v>437519.59040266392</v>
      </c>
    </row>
    <row r="371" spans="1:11" x14ac:dyDescent="0.25">
      <c r="A371" s="1" t="s">
        <v>2</v>
      </c>
      <c r="B371" s="1" t="s">
        <v>2</v>
      </c>
      <c r="C371" s="1" t="s">
        <v>2</v>
      </c>
      <c r="D371" s="1" t="s">
        <v>2</v>
      </c>
      <c r="E371" s="1"/>
      <c r="F371" s="1"/>
      <c r="G371" s="1"/>
      <c r="H371" s="1"/>
      <c r="I371" s="1" t="s">
        <v>2</v>
      </c>
      <c r="J371" s="5"/>
    </row>
    <row r="372" spans="1:11" ht="15" customHeight="1" x14ac:dyDescent="0.25">
      <c r="A372" s="1" t="s">
        <v>106</v>
      </c>
      <c r="B372" s="1" t="s">
        <v>2</v>
      </c>
      <c r="J372" s="92"/>
      <c r="K372" s="306"/>
    </row>
    <row r="373" spans="1:11" ht="15" customHeight="1" x14ac:dyDescent="0.25">
      <c r="A373" s="2" t="s">
        <v>107</v>
      </c>
      <c r="B373" s="2" t="s">
        <v>108</v>
      </c>
      <c r="C373" s="3">
        <v>140579.64000000001</v>
      </c>
      <c r="D373" s="3">
        <v>68696.37</v>
      </c>
      <c r="E373" s="3">
        <v>106956.06</v>
      </c>
      <c r="F373" s="3"/>
      <c r="G373" s="3">
        <v>120804.71</v>
      </c>
      <c r="H373" s="3">
        <f>G373/11*12</f>
        <v>131786.95636363636</v>
      </c>
      <c r="I373" s="3">
        <v>155543.07</v>
      </c>
      <c r="J373" s="302">
        <v>165782.24</v>
      </c>
      <c r="K373" s="306"/>
    </row>
    <row r="374" spans="1:11" ht="15" customHeight="1" x14ac:dyDescent="0.25">
      <c r="A374" s="2" t="s">
        <v>109</v>
      </c>
      <c r="B374" s="2" t="s">
        <v>29</v>
      </c>
      <c r="C374" s="3">
        <v>40703.4</v>
      </c>
      <c r="D374" s="3">
        <v>19148.93</v>
      </c>
      <c r="E374" s="3">
        <v>29879.119999999999</v>
      </c>
      <c r="F374" s="3"/>
      <c r="G374" s="3">
        <v>32778.46</v>
      </c>
      <c r="H374" s="3">
        <f t="shared" ref="H374:H385" si="27">G374/11*12</f>
        <v>35758.32</v>
      </c>
      <c r="I374" s="3">
        <v>46529.84</v>
      </c>
      <c r="J374" s="302">
        <v>25695.83</v>
      </c>
      <c r="K374" s="306"/>
    </row>
    <row r="375" spans="1:11" ht="15" customHeight="1" x14ac:dyDescent="0.25">
      <c r="A375" s="2" t="s">
        <v>110</v>
      </c>
      <c r="B375" s="2" t="s">
        <v>31</v>
      </c>
      <c r="C375" s="3">
        <v>529.29</v>
      </c>
      <c r="D375" s="3">
        <v>213.1</v>
      </c>
      <c r="E375" s="3">
        <v>321.74</v>
      </c>
      <c r="F375" s="3"/>
      <c r="G375" s="3">
        <v>365.76</v>
      </c>
      <c r="H375" s="3">
        <f t="shared" si="27"/>
        <v>399.01090909090908</v>
      </c>
      <c r="I375" s="3">
        <v>554.96</v>
      </c>
      <c r="J375" s="302">
        <v>502.82</v>
      </c>
      <c r="K375" s="306"/>
    </row>
    <row r="376" spans="1:11" ht="15" customHeight="1" x14ac:dyDescent="0.25">
      <c r="A376" s="2" t="s">
        <v>111</v>
      </c>
      <c r="B376" s="2" t="s">
        <v>33</v>
      </c>
      <c r="C376" s="3">
        <v>21500.74</v>
      </c>
      <c r="D376" s="3">
        <v>9416.85</v>
      </c>
      <c r="E376" s="3">
        <v>14745.63</v>
      </c>
      <c r="F376" s="3"/>
      <c r="G376" s="3">
        <v>16598.900000000001</v>
      </c>
      <c r="H376" s="3">
        <f t="shared" si="27"/>
        <v>18107.890909090911</v>
      </c>
      <c r="I376" s="3">
        <v>20442.73</v>
      </c>
      <c r="J376" s="302">
        <v>21476.92</v>
      </c>
      <c r="K376" s="306"/>
    </row>
    <row r="377" spans="1:11" x14ac:dyDescent="0.25">
      <c r="A377" s="2" t="s">
        <v>112</v>
      </c>
      <c r="B377" s="2" t="s">
        <v>113</v>
      </c>
      <c r="C377" s="3">
        <v>10724.76</v>
      </c>
      <c r="D377" s="3">
        <v>5174.9399999999996</v>
      </c>
      <c r="E377" s="3">
        <v>8399.68</v>
      </c>
      <c r="F377" s="3"/>
      <c r="G377" s="3">
        <v>9449.16</v>
      </c>
      <c r="H377" s="3">
        <f t="shared" si="27"/>
        <v>10308.174545454545</v>
      </c>
      <c r="I377" s="3">
        <v>11899.04</v>
      </c>
      <c r="J377" s="302">
        <v>12682.34</v>
      </c>
      <c r="K377" s="306"/>
    </row>
    <row r="378" spans="1:11" ht="15" customHeight="1" x14ac:dyDescent="0.25">
      <c r="A378" s="2" t="s">
        <v>114</v>
      </c>
      <c r="B378" s="2" t="s">
        <v>13</v>
      </c>
      <c r="C378" s="3">
        <v>213.37</v>
      </c>
      <c r="D378" s="3">
        <v>146.96</v>
      </c>
      <c r="E378" s="3">
        <v>238.59</v>
      </c>
      <c r="F378" s="3"/>
      <c r="G378" s="3">
        <v>261.06</v>
      </c>
      <c r="H378" s="3">
        <f t="shared" si="27"/>
        <v>284.79272727272729</v>
      </c>
      <c r="I378" s="3">
        <v>228.65</v>
      </c>
      <c r="J378" s="302">
        <f t="shared" ref="J378" si="28">H378*1.055</f>
        <v>300.45632727272726</v>
      </c>
      <c r="K378" s="306"/>
    </row>
    <row r="379" spans="1:11" ht="15" customHeight="1" x14ac:dyDescent="0.25">
      <c r="A379" s="2" t="s">
        <v>115</v>
      </c>
      <c r="B379" s="2" t="s">
        <v>37</v>
      </c>
      <c r="C379" s="3">
        <v>244.52</v>
      </c>
      <c r="D379" s="3">
        <v>138.16999999999999</v>
      </c>
      <c r="E379" s="3">
        <v>291.94</v>
      </c>
      <c r="F379" s="3"/>
      <c r="G379" s="3">
        <v>454.78</v>
      </c>
      <c r="H379" s="3">
        <f t="shared" si="27"/>
        <v>496.12363636363636</v>
      </c>
      <c r="I379" s="3">
        <v>750</v>
      </c>
      <c r="J379" s="302">
        <v>750</v>
      </c>
      <c r="K379" s="306"/>
    </row>
    <row r="380" spans="1:11" ht="15" customHeight="1" x14ac:dyDescent="0.25">
      <c r="A380" s="2" t="s">
        <v>116</v>
      </c>
      <c r="B380" s="2" t="s">
        <v>39</v>
      </c>
      <c r="C380" s="3">
        <v>0</v>
      </c>
      <c r="D380" s="3">
        <v>0</v>
      </c>
      <c r="E380" s="3">
        <v>0</v>
      </c>
      <c r="F380" s="3"/>
      <c r="G380" s="3">
        <v>0</v>
      </c>
      <c r="H380" s="3">
        <f t="shared" si="27"/>
        <v>0</v>
      </c>
      <c r="I380" s="3">
        <v>500</v>
      </c>
      <c r="J380" s="5">
        <v>500</v>
      </c>
    </row>
    <row r="381" spans="1:11" ht="15" customHeight="1" x14ac:dyDescent="0.25">
      <c r="A381" s="2" t="s">
        <v>117</v>
      </c>
      <c r="B381" s="2" t="s">
        <v>92</v>
      </c>
      <c r="C381" s="3">
        <v>0</v>
      </c>
      <c r="D381" s="3">
        <v>0</v>
      </c>
      <c r="E381" s="3">
        <v>0</v>
      </c>
      <c r="F381" s="3"/>
      <c r="G381" s="3">
        <v>0</v>
      </c>
      <c r="H381" s="3">
        <f t="shared" si="27"/>
        <v>0</v>
      </c>
      <c r="I381" s="3">
        <v>0</v>
      </c>
      <c r="J381" s="5">
        <f>+Equipment!$C$7</f>
        <v>0</v>
      </c>
    </row>
    <row r="382" spans="1:11" x14ac:dyDescent="0.25">
      <c r="A382" s="2" t="s">
        <v>118</v>
      </c>
      <c r="B382" s="2" t="s">
        <v>119</v>
      </c>
      <c r="C382" s="3">
        <v>12658.64</v>
      </c>
      <c r="D382" s="3">
        <v>10252.23</v>
      </c>
      <c r="E382" s="3">
        <v>10252.23</v>
      </c>
      <c r="F382" s="3"/>
      <c r="G382" s="3">
        <v>9397.8799999999992</v>
      </c>
      <c r="H382" s="3">
        <f t="shared" si="27"/>
        <v>10252.232727272727</v>
      </c>
      <c r="I382" s="3">
        <v>10252.23</v>
      </c>
      <c r="J382" s="5">
        <f>'Computer '!D8</f>
        <v>12658.640268442623</v>
      </c>
    </row>
    <row r="383" spans="1:11" ht="15" customHeight="1" x14ac:dyDescent="0.25">
      <c r="A383" s="2" t="s">
        <v>120</v>
      </c>
      <c r="B383" s="2" t="s">
        <v>17</v>
      </c>
      <c r="C383" s="3">
        <v>551.46</v>
      </c>
      <c r="D383" s="3">
        <v>356.5</v>
      </c>
      <c r="E383" s="3">
        <v>914.88</v>
      </c>
      <c r="F383" s="3"/>
      <c r="G383" s="3">
        <v>914.88</v>
      </c>
      <c r="H383" s="3">
        <f t="shared" si="27"/>
        <v>998.05090909090904</v>
      </c>
      <c r="I383" s="3">
        <v>1200</v>
      </c>
      <c r="J383" s="5">
        <v>1500</v>
      </c>
    </row>
    <row r="384" spans="1:11" ht="15" customHeight="1" x14ac:dyDescent="0.25">
      <c r="A384" s="2" t="s">
        <v>121</v>
      </c>
      <c r="B384" s="2" t="s">
        <v>64</v>
      </c>
      <c r="C384" s="3">
        <v>791</v>
      </c>
      <c r="D384" s="3">
        <v>316</v>
      </c>
      <c r="E384" s="3">
        <v>839</v>
      </c>
      <c r="F384" s="3"/>
      <c r="G384" s="3">
        <v>839</v>
      </c>
      <c r="H384" s="3">
        <f t="shared" si="27"/>
        <v>915.27272727272725</v>
      </c>
      <c r="I384" s="3">
        <v>750</v>
      </c>
      <c r="J384" s="5">
        <v>750</v>
      </c>
    </row>
    <row r="385" spans="1:11" ht="15" customHeight="1" x14ac:dyDescent="0.25">
      <c r="A385" s="2" t="s">
        <v>122</v>
      </c>
      <c r="B385" s="2" t="s">
        <v>66</v>
      </c>
      <c r="C385" s="3">
        <v>985</v>
      </c>
      <c r="D385" s="3">
        <v>1541.19</v>
      </c>
      <c r="E385" s="3">
        <v>1691.19</v>
      </c>
      <c r="F385" s="3"/>
      <c r="G385" s="3">
        <v>1691.19</v>
      </c>
      <c r="H385" s="3">
        <f t="shared" si="27"/>
        <v>1844.9345454545455</v>
      </c>
      <c r="I385" s="3">
        <v>3000</v>
      </c>
      <c r="J385" s="5">
        <v>3000</v>
      </c>
    </row>
    <row r="386" spans="1:11" ht="15" customHeight="1" x14ac:dyDescent="0.25">
      <c r="A386" s="1" t="s">
        <v>123</v>
      </c>
      <c r="B386" s="1" t="s">
        <v>2</v>
      </c>
      <c r="C386" s="6">
        <v>229481.82</v>
      </c>
      <c r="D386" s="6">
        <v>115401.24</v>
      </c>
      <c r="E386" s="6">
        <f>SUM(E373:E385)</f>
        <v>174530.06</v>
      </c>
      <c r="F386" s="6"/>
      <c r="G386" s="6">
        <f>SUM(G373:G385)</f>
        <v>193555.78000000003</v>
      </c>
      <c r="H386" s="6">
        <f>SUM(H373:H385)</f>
        <v>211151.75999999998</v>
      </c>
      <c r="I386" s="6">
        <f>SUM(I373:I385)</f>
        <v>251650.52000000002</v>
      </c>
      <c r="J386" s="6">
        <f>SUM(J373:J385)</f>
        <v>245599.24659571535</v>
      </c>
    </row>
    <row r="387" spans="1:11" x14ac:dyDescent="0.25">
      <c r="A387" s="1" t="s">
        <v>2</v>
      </c>
      <c r="B387" s="1" t="s">
        <v>2</v>
      </c>
      <c r="C387" s="1" t="s">
        <v>2</v>
      </c>
      <c r="D387" s="1" t="s">
        <v>2</v>
      </c>
      <c r="E387" s="1"/>
      <c r="F387" s="1"/>
      <c r="G387" s="1"/>
      <c r="H387" s="1"/>
      <c r="I387" s="1" t="s">
        <v>2</v>
      </c>
      <c r="J387" s="1" t="s">
        <v>2</v>
      </c>
    </row>
    <row r="388" spans="1:11" ht="15" customHeight="1" x14ac:dyDescent="0.25">
      <c r="A388" s="1" t="s">
        <v>124</v>
      </c>
      <c r="B388" s="1" t="s">
        <v>2</v>
      </c>
    </row>
    <row r="389" spans="1:11" ht="15" customHeight="1" x14ac:dyDescent="0.25">
      <c r="A389" s="2" t="s">
        <v>125</v>
      </c>
      <c r="B389" s="2" t="s">
        <v>108</v>
      </c>
      <c r="C389" s="3">
        <v>306422.73</v>
      </c>
      <c r="D389" s="3">
        <v>158112.95000000001</v>
      </c>
      <c r="E389" s="3">
        <v>207165.61</v>
      </c>
      <c r="F389" s="3"/>
      <c r="G389" s="3">
        <v>232201.32</v>
      </c>
      <c r="H389" s="3">
        <f>G389/11*12</f>
        <v>253310.53090909094</v>
      </c>
      <c r="I389" s="3">
        <v>313025.73</v>
      </c>
      <c r="J389" s="302">
        <f>73402.95+1200+64897.51+1191+1200+124774.96+40812.83</f>
        <v>307479.25</v>
      </c>
      <c r="K389" s="306"/>
    </row>
    <row r="390" spans="1:11" ht="15" customHeight="1" x14ac:dyDescent="0.25">
      <c r="A390" s="2" t="s">
        <v>126</v>
      </c>
      <c r="B390" s="2" t="s">
        <v>29</v>
      </c>
      <c r="C390" s="3">
        <v>49038.39</v>
      </c>
      <c r="D390" s="3">
        <v>29284.7</v>
      </c>
      <c r="E390" s="3">
        <v>43857.93</v>
      </c>
      <c r="F390" s="3"/>
      <c r="G390" s="3">
        <v>50148.81</v>
      </c>
      <c r="H390" s="3">
        <f t="shared" ref="H390:H408" si="29">G390/11*12</f>
        <v>54707.792727272725</v>
      </c>
      <c r="I390" s="3">
        <v>66248.53</v>
      </c>
      <c r="J390" s="302">
        <f>30080.31+(1669.2*0.7)+27102.69+37272.15</f>
        <v>95623.59</v>
      </c>
      <c r="K390" s="306"/>
    </row>
    <row r="391" spans="1:11" ht="15" customHeight="1" x14ac:dyDescent="0.25">
      <c r="A391" s="2" t="s">
        <v>127</v>
      </c>
      <c r="B391" s="2" t="s">
        <v>128</v>
      </c>
      <c r="C391" s="3">
        <v>928.95</v>
      </c>
      <c r="D391" s="3">
        <v>370.03</v>
      </c>
      <c r="E391" s="3">
        <v>508.58</v>
      </c>
      <c r="F391" s="3"/>
      <c r="G391" s="3">
        <v>581.49</v>
      </c>
      <c r="H391" s="3">
        <f t="shared" si="29"/>
        <v>634.35272727272729</v>
      </c>
      <c r="I391" s="3">
        <v>1026.68</v>
      </c>
      <c r="J391" s="302">
        <f>251.41+(251.41*0.7)+251.41+251.41</f>
        <v>930.21699999999998</v>
      </c>
      <c r="K391" s="306"/>
    </row>
    <row r="392" spans="1:11" ht="15" customHeight="1" x14ac:dyDescent="0.25">
      <c r="A392" s="2" t="s">
        <v>129</v>
      </c>
      <c r="B392" s="2" t="s">
        <v>33</v>
      </c>
      <c r="C392" s="3">
        <v>41467.99</v>
      </c>
      <c r="D392" s="3">
        <v>17349.54</v>
      </c>
      <c r="E392" s="3">
        <v>22558</v>
      </c>
      <c r="F392" s="3"/>
      <c r="G392" s="3">
        <v>25731.02</v>
      </c>
      <c r="H392" s="3">
        <f t="shared" si="29"/>
        <v>28070.203636363636</v>
      </c>
      <c r="I392" s="3">
        <v>39043.050000000003</v>
      </c>
      <c r="J392" s="302">
        <f t="shared" ref="J392" si="30">H392*1.055</f>
        <v>29614.064836363636</v>
      </c>
      <c r="K392" s="306"/>
    </row>
    <row r="393" spans="1:11" x14ac:dyDescent="0.25">
      <c r="A393" s="2" t="s">
        <v>130</v>
      </c>
      <c r="B393" s="2" t="s">
        <v>113</v>
      </c>
      <c r="C393" s="3">
        <v>22752.080000000002</v>
      </c>
      <c r="D393" s="3">
        <v>11955.2</v>
      </c>
      <c r="E393" s="5">
        <v>15276.54</v>
      </c>
      <c r="F393" s="5"/>
      <c r="G393" s="5">
        <v>17164.580000000002</v>
      </c>
      <c r="H393" s="3">
        <f t="shared" si="29"/>
        <v>18724.996363636365</v>
      </c>
      <c r="I393" s="3">
        <v>23946.47</v>
      </c>
      <c r="J393" s="302">
        <f>5615.33+91.8+((4054.64+91.8+313.82)*0.7)+4964.66+91.11+91.8+9545.28</f>
        <v>23522.162</v>
      </c>
      <c r="K393" s="306"/>
    </row>
    <row r="394" spans="1:11" ht="15" customHeight="1" x14ac:dyDescent="0.25">
      <c r="A394" s="2" t="s">
        <v>131</v>
      </c>
      <c r="B394" s="2" t="s">
        <v>13</v>
      </c>
      <c r="C394" s="3">
        <v>442.56</v>
      </c>
      <c r="D394" s="3">
        <v>339.05</v>
      </c>
      <c r="E394" s="3">
        <v>431.63</v>
      </c>
      <c r="F394" s="3"/>
      <c r="G394" s="3">
        <v>472.07</v>
      </c>
      <c r="H394" s="3">
        <f t="shared" si="29"/>
        <v>514.98545454545456</v>
      </c>
      <c r="I394" s="3">
        <v>460.15</v>
      </c>
      <c r="J394" s="302">
        <f>159.96+(118.12*0.7)+146.64+271.91</f>
        <v>661.19399999999996</v>
      </c>
      <c r="K394" s="306"/>
    </row>
    <row r="395" spans="1:11" ht="15" customHeight="1" x14ac:dyDescent="0.25">
      <c r="A395" s="2" t="s">
        <v>132</v>
      </c>
      <c r="B395" s="2" t="s">
        <v>37</v>
      </c>
      <c r="C395" s="3">
        <v>4475.28</v>
      </c>
      <c r="D395" s="3">
        <v>1473.32</v>
      </c>
      <c r="E395" s="3">
        <v>1627.39</v>
      </c>
      <c r="F395" s="3"/>
      <c r="G395" s="3">
        <v>2500.0500000000002</v>
      </c>
      <c r="H395" s="3">
        <f t="shared" si="29"/>
        <v>2727.3272727272729</v>
      </c>
      <c r="I395" s="3">
        <v>4120</v>
      </c>
      <c r="J395" s="5">
        <v>4500</v>
      </c>
    </row>
    <row r="396" spans="1:11" ht="15" customHeight="1" x14ac:dyDescent="0.25">
      <c r="A396" s="2" t="s">
        <v>133</v>
      </c>
      <c r="B396" s="2" t="s">
        <v>39</v>
      </c>
      <c r="C396" s="3">
        <v>124.9</v>
      </c>
      <c r="D396" s="3">
        <v>0</v>
      </c>
      <c r="E396" s="3">
        <v>0</v>
      </c>
      <c r="F396" s="3"/>
      <c r="G396" s="3">
        <v>103.33</v>
      </c>
      <c r="H396" s="3">
        <f t="shared" si="29"/>
        <v>112.72363636363636</v>
      </c>
      <c r="I396" s="3">
        <v>750</v>
      </c>
      <c r="J396" s="5">
        <v>750</v>
      </c>
    </row>
    <row r="397" spans="1:11" ht="15" customHeight="1" x14ac:dyDescent="0.25">
      <c r="A397" s="2" t="s">
        <v>134</v>
      </c>
      <c r="B397" s="2" t="s">
        <v>90</v>
      </c>
      <c r="C397" s="3">
        <v>36.369999999999997</v>
      </c>
      <c r="D397" s="3">
        <v>0</v>
      </c>
      <c r="E397" s="3">
        <v>0</v>
      </c>
      <c r="F397" s="3"/>
      <c r="G397" s="3">
        <v>0</v>
      </c>
      <c r="H397" s="3">
        <f t="shared" si="29"/>
        <v>0</v>
      </c>
      <c r="I397" s="3">
        <v>750</v>
      </c>
      <c r="J397" s="5">
        <v>750</v>
      </c>
    </row>
    <row r="398" spans="1:11" x14ac:dyDescent="0.25">
      <c r="A398" s="2" t="s">
        <v>135</v>
      </c>
      <c r="B398" s="2" t="s">
        <v>136</v>
      </c>
      <c r="C398" s="3">
        <v>6583.43</v>
      </c>
      <c r="D398" s="3">
        <v>11296.11</v>
      </c>
      <c r="E398" s="3">
        <v>11296.11</v>
      </c>
      <c r="F398" s="3"/>
      <c r="G398" s="3">
        <v>10354.76</v>
      </c>
      <c r="H398" s="3">
        <f t="shared" si="29"/>
        <v>11296.101818181818</v>
      </c>
      <c r="I398" s="3">
        <v>11296.11</v>
      </c>
      <c r="J398" s="5">
        <f>'Computer '!D9</f>
        <v>6583.4288992827851</v>
      </c>
    </row>
    <row r="399" spans="1:11" x14ac:dyDescent="0.25">
      <c r="A399" s="2" t="s">
        <v>3206</v>
      </c>
      <c r="B399" s="2" t="s">
        <v>3205</v>
      </c>
      <c r="C399" s="3">
        <v>0</v>
      </c>
      <c r="D399" s="3"/>
      <c r="E399" s="3">
        <v>13480</v>
      </c>
      <c r="F399" s="3"/>
      <c r="G399" s="3">
        <v>13480</v>
      </c>
      <c r="H399" s="3">
        <f t="shared" si="29"/>
        <v>14705.454545454546</v>
      </c>
      <c r="I399" s="3">
        <v>0</v>
      </c>
      <c r="J399" s="5">
        <v>0</v>
      </c>
    </row>
    <row r="400" spans="1:11" ht="15" customHeight="1" x14ac:dyDescent="0.25">
      <c r="A400" s="2" t="s">
        <v>137</v>
      </c>
      <c r="B400" s="2" t="s">
        <v>138</v>
      </c>
      <c r="C400" s="3">
        <v>0</v>
      </c>
      <c r="D400" s="3">
        <v>8151.01</v>
      </c>
      <c r="E400" s="3">
        <v>8151.01</v>
      </c>
      <c r="F400" s="3"/>
      <c r="G400" s="3">
        <v>8439.76</v>
      </c>
      <c r="H400" s="3">
        <f t="shared" si="29"/>
        <v>9207.01090909091</v>
      </c>
      <c r="I400" s="3">
        <v>0</v>
      </c>
      <c r="J400" s="5">
        <v>0</v>
      </c>
    </row>
    <row r="401" spans="1:10" ht="15" customHeight="1" x14ac:dyDescent="0.25">
      <c r="A401" s="2" t="s">
        <v>139</v>
      </c>
      <c r="B401" s="2" t="s">
        <v>99</v>
      </c>
      <c r="C401" s="3">
        <v>626.77</v>
      </c>
      <c r="D401" s="3">
        <v>209.06</v>
      </c>
      <c r="E401" s="3">
        <v>209.06</v>
      </c>
      <c r="F401" s="3"/>
      <c r="G401" s="3">
        <v>209.06</v>
      </c>
      <c r="H401" s="3">
        <f t="shared" si="29"/>
        <v>228.06545454545454</v>
      </c>
      <c r="I401" s="3">
        <v>800</v>
      </c>
      <c r="J401" s="5">
        <f>Phone!$C$7</f>
        <v>800</v>
      </c>
    </row>
    <row r="402" spans="1:10" ht="15" customHeight="1" x14ac:dyDescent="0.25">
      <c r="A402" s="2" t="s">
        <v>140</v>
      </c>
      <c r="B402" s="2" t="s">
        <v>59</v>
      </c>
      <c r="C402" s="3">
        <v>1508.97</v>
      </c>
      <c r="D402" s="3">
        <v>1457.72</v>
      </c>
      <c r="E402" s="3">
        <v>2530.64</v>
      </c>
      <c r="F402" s="3"/>
      <c r="G402" s="3">
        <v>2530.64</v>
      </c>
      <c r="H402" s="3">
        <f t="shared" si="29"/>
        <v>2760.6981818181816</v>
      </c>
      <c r="I402" s="3">
        <v>4000</v>
      </c>
      <c r="J402" s="5">
        <v>4000</v>
      </c>
    </row>
    <row r="403" spans="1:10" ht="15" customHeight="1" x14ac:dyDescent="0.25">
      <c r="A403" s="2" t="s">
        <v>141</v>
      </c>
      <c r="B403" s="2" t="s">
        <v>17</v>
      </c>
      <c r="C403" s="3">
        <v>0</v>
      </c>
      <c r="D403" s="3">
        <v>0</v>
      </c>
      <c r="E403" s="3">
        <v>1752.66</v>
      </c>
      <c r="F403" s="3"/>
      <c r="G403" s="3">
        <v>1752.66</v>
      </c>
      <c r="H403" s="3">
        <f t="shared" si="29"/>
        <v>1911.9927272727273</v>
      </c>
      <c r="I403" s="3">
        <v>4000</v>
      </c>
      <c r="J403" s="5">
        <v>4000</v>
      </c>
    </row>
    <row r="404" spans="1:10" ht="15" customHeight="1" x14ac:dyDescent="0.25">
      <c r="A404" s="2" t="s">
        <v>142</v>
      </c>
      <c r="B404" s="2" t="s">
        <v>64</v>
      </c>
      <c r="C404" s="3">
        <v>0</v>
      </c>
      <c r="D404" s="3">
        <v>183.51</v>
      </c>
      <c r="E404" s="3">
        <v>562.46</v>
      </c>
      <c r="F404" s="3"/>
      <c r="G404" s="3">
        <v>562.46</v>
      </c>
      <c r="H404" s="3">
        <f t="shared" si="29"/>
        <v>613.5927272727273</v>
      </c>
      <c r="I404" s="3">
        <v>1500</v>
      </c>
      <c r="J404" s="5">
        <v>1500</v>
      </c>
    </row>
    <row r="405" spans="1:10" ht="15" customHeight="1" x14ac:dyDescent="0.25">
      <c r="A405" s="2" t="s">
        <v>143</v>
      </c>
      <c r="B405" s="2" t="s">
        <v>144</v>
      </c>
      <c r="C405" s="3">
        <v>0</v>
      </c>
      <c r="D405" s="3">
        <v>27.75</v>
      </c>
      <c r="E405" s="3">
        <v>475.25</v>
      </c>
      <c r="F405" s="3"/>
      <c r="G405" s="3">
        <v>577</v>
      </c>
      <c r="H405" s="3">
        <f t="shared" si="29"/>
        <v>629.4545454545455</v>
      </c>
      <c r="I405" s="3">
        <v>0</v>
      </c>
      <c r="J405" s="5">
        <v>0</v>
      </c>
    </row>
    <row r="406" spans="1:10" ht="15" customHeight="1" x14ac:dyDescent="0.25">
      <c r="A406" s="2" t="s">
        <v>145</v>
      </c>
      <c r="B406" s="2" t="s">
        <v>66</v>
      </c>
      <c r="C406" s="3">
        <v>2287</v>
      </c>
      <c r="D406" s="3">
        <v>263</v>
      </c>
      <c r="E406" s="3">
        <v>23170.5</v>
      </c>
      <c r="F406" s="3"/>
      <c r="G406" s="3">
        <v>23170.5</v>
      </c>
      <c r="H406" s="3">
        <f t="shared" si="29"/>
        <v>25276.909090909092</v>
      </c>
      <c r="I406" s="3">
        <v>5000</v>
      </c>
      <c r="J406" s="5">
        <v>7000</v>
      </c>
    </row>
    <row r="407" spans="1:10" ht="15" customHeight="1" x14ac:dyDescent="0.25">
      <c r="A407" s="2" t="s">
        <v>146</v>
      </c>
      <c r="B407" s="2" t="s">
        <v>147</v>
      </c>
      <c r="C407" s="3">
        <v>915</v>
      </c>
      <c r="D407" s="3">
        <v>455</v>
      </c>
      <c r="E407" s="3">
        <v>455</v>
      </c>
      <c r="F407" s="3"/>
      <c r="G407" s="3">
        <v>455</v>
      </c>
      <c r="H407" s="3">
        <f t="shared" si="29"/>
        <v>496.36363636363637</v>
      </c>
      <c r="I407" s="3">
        <v>1200</v>
      </c>
      <c r="J407" s="5">
        <v>1200</v>
      </c>
    </row>
    <row r="408" spans="1:10" ht="15" customHeight="1" x14ac:dyDescent="0.25">
      <c r="A408" s="2" t="s">
        <v>148</v>
      </c>
      <c r="B408" s="2" t="s">
        <v>149</v>
      </c>
      <c r="C408" s="3">
        <v>0</v>
      </c>
      <c r="D408" s="3">
        <v>0</v>
      </c>
      <c r="E408" s="3">
        <v>0</v>
      </c>
      <c r="F408" s="3"/>
      <c r="G408" s="3">
        <v>0</v>
      </c>
      <c r="H408" s="3">
        <f t="shared" si="29"/>
        <v>0</v>
      </c>
      <c r="I408" s="3">
        <v>0</v>
      </c>
      <c r="J408" s="5">
        <v>0</v>
      </c>
    </row>
    <row r="409" spans="1:10" ht="15" customHeight="1" x14ac:dyDescent="0.25">
      <c r="A409" s="1" t="s">
        <v>150</v>
      </c>
      <c r="B409" s="1" t="s">
        <v>2</v>
      </c>
      <c r="C409" s="6">
        <v>437610.42</v>
      </c>
      <c r="D409" s="6">
        <v>240927.95</v>
      </c>
      <c r="E409" s="6">
        <f>SUM(E389:E408)</f>
        <v>353508.37</v>
      </c>
      <c r="F409" s="6"/>
      <c r="G409" s="6">
        <f>SUM(G389:G408)</f>
        <v>390434.51000000007</v>
      </c>
      <c r="H409" s="6">
        <f>SUM(H389:H408)</f>
        <v>425928.55636363634</v>
      </c>
      <c r="I409" s="6">
        <f>SUM(I389:I408)</f>
        <v>477166.72</v>
      </c>
      <c r="J409" s="6">
        <f>SUM(J389:J408)</f>
        <v>488913.90673564642</v>
      </c>
    </row>
    <row r="410" spans="1:10" x14ac:dyDescent="0.25">
      <c r="A410" s="1" t="s">
        <v>2</v>
      </c>
      <c r="B410" s="1" t="s">
        <v>2</v>
      </c>
      <c r="C410" s="1" t="s">
        <v>2</v>
      </c>
      <c r="D410" s="1" t="s">
        <v>2</v>
      </c>
      <c r="E410" s="1"/>
      <c r="F410" s="1"/>
      <c r="G410" s="1"/>
      <c r="H410" s="1"/>
      <c r="I410" s="1" t="s">
        <v>2</v>
      </c>
      <c r="J410" s="1" t="s">
        <v>2</v>
      </c>
    </row>
    <row r="411" spans="1:10" ht="15" customHeight="1" x14ac:dyDescent="0.25">
      <c r="A411" s="1" t="s">
        <v>151</v>
      </c>
      <c r="B411" s="1" t="s">
        <v>2</v>
      </c>
    </row>
    <row r="412" spans="1:10" ht="15" customHeight="1" x14ac:dyDescent="0.25">
      <c r="A412" s="2" t="s">
        <v>152</v>
      </c>
      <c r="B412" s="2" t="s">
        <v>153</v>
      </c>
      <c r="C412" s="3">
        <v>4918.03</v>
      </c>
      <c r="D412" s="3">
        <v>1627.42</v>
      </c>
      <c r="E412" s="3">
        <v>5041.43</v>
      </c>
      <c r="F412" s="3"/>
      <c r="G412" s="3">
        <v>5041.43</v>
      </c>
      <c r="H412" s="3">
        <f>G412/11*12</f>
        <v>5499.7418181818184</v>
      </c>
      <c r="I412" s="3">
        <v>6000</v>
      </c>
      <c r="J412" s="5">
        <v>6000</v>
      </c>
    </row>
    <row r="413" spans="1:10" ht="15" customHeight="1" x14ac:dyDescent="0.25">
      <c r="A413" s="2" t="s">
        <v>154</v>
      </c>
      <c r="B413" s="2" t="s">
        <v>108</v>
      </c>
      <c r="C413" s="3">
        <v>74360.240000000005</v>
      </c>
      <c r="D413" s="3">
        <v>38406.29</v>
      </c>
      <c r="E413" s="3">
        <v>64268.69</v>
      </c>
      <c r="F413" s="3"/>
      <c r="G413" s="3">
        <v>73967.08</v>
      </c>
      <c r="H413" s="3">
        <f t="shared" ref="H413:H427" si="31">G413/11*12</f>
        <v>80691.360000000001</v>
      </c>
      <c r="I413" s="3">
        <v>81945.62</v>
      </c>
      <c r="J413" s="302">
        <v>88693.36</v>
      </c>
    </row>
    <row r="414" spans="1:10" ht="15" customHeight="1" x14ac:dyDescent="0.25">
      <c r="A414" s="2" t="s">
        <v>155</v>
      </c>
      <c r="B414" s="2" t="s">
        <v>29</v>
      </c>
      <c r="C414" s="3">
        <v>21300.080000000002</v>
      </c>
      <c r="D414" s="3">
        <v>12679.72</v>
      </c>
      <c r="E414" s="3">
        <v>21556.68</v>
      </c>
      <c r="F414" s="3"/>
      <c r="G414" s="3">
        <v>24885.54</v>
      </c>
      <c r="H414" s="3">
        <f t="shared" si="31"/>
        <v>27147.86181818182</v>
      </c>
      <c r="I414" s="3">
        <v>27053.54</v>
      </c>
      <c r="J414" s="302">
        <v>28294.53</v>
      </c>
    </row>
    <row r="415" spans="1:10" ht="15" customHeight="1" x14ac:dyDescent="0.25">
      <c r="A415" s="2" t="s">
        <v>156</v>
      </c>
      <c r="B415" s="2" t="s">
        <v>31</v>
      </c>
      <c r="C415" s="3">
        <v>240.05</v>
      </c>
      <c r="D415" s="3">
        <v>97.62</v>
      </c>
      <c r="E415" s="3">
        <v>173.51</v>
      </c>
      <c r="F415" s="3"/>
      <c r="G415" s="3">
        <v>206.26</v>
      </c>
      <c r="H415" s="3">
        <f t="shared" si="31"/>
        <v>225.01090909090908</v>
      </c>
      <c r="I415" s="3">
        <v>277.48</v>
      </c>
      <c r="J415" s="302">
        <v>251.41</v>
      </c>
    </row>
    <row r="416" spans="1:10" ht="15" customHeight="1" x14ac:dyDescent="0.25">
      <c r="A416" s="2" t="s">
        <v>157</v>
      </c>
      <c r="B416" s="2" t="s">
        <v>158</v>
      </c>
      <c r="C416" s="3">
        <v>11902.93</v>
      </c>
      <c r="D416" s="3">
        <v>5203.37</v>
      </c>
      <c r="E416" s="3">
        <v>9016.43</v>
      </c>
      <c r="F416" s="3"/>
      <c r="G416" s="3">
        <v>10456.34</v>
      </c>
      <c r="H416" s="3">
        <f t="shared" si="31"/>
        <v>11406.916363636365</v>
      </c>
      <c r="I416" s="3">
        <v>11407.43</v>
      </c>
      <c r="J416" s="302">
        <v>12193.31</v>
      </c>
    </row>
    <row r="417" spans="1:11" x14ac:dyDescent="0.25">
      <c r="A417" s="2" t="s">
        <v>159</v>
      </c>
      <c r="B417" s="2" t="s">
        <v>113</v>
      </c>
      <c r="C417" s="3">
        <v>5614.06</v>
      </c>
      <c r="D417" s="3">
        <v>2892.3</v>
      </c>
      <c r="E417" s="3">
        <v>4838.8599999999997</v>
      </c>
      <c r="F417" s="3"/>
      <c r="G417" s="3">
        <v>5568.82</v>
      </c>
      <c r="H417" s="3">
        <f t="shared" si="31"/>
        <v>6075.0763636363636</v>
      </c>
      <c r="I417" s="3">
        <v>6268.84</v>
      </c>
      <c r="J417" s="302">
        <v>6785.04</v>
      </c>
    </row>
    <row r="418" spans="1:11" ht="15" customHeight="1" x14ac:dyDescent="0.25">
      <c r="A418" s="2" t="s">
        <v>160</v>
      </c>
      <c r="B418" s="2" t="s">
        <v>13</v>
      </c>
      <c r="C418" s="3">
        <v>109.16</v>
      </c>
      <c r="D418" s="3">
        <v>82.3</v>
      </c>
      <c r="E418" s="3">
        <v>137.26</v>
      </c>
      <c r="F418" s="3"/>
      <c r="G418" s="3">
        <v>153.04</v>
      </c>
      <c r="H418" s="3">
        <f t="shared" si="31"/>
        <v>166.95272727272726</v>
      </c>
      <c r="I418" s="3">
        <v>120.46</v>
      </c>
      <c r="J418" s="302">
        <v>193.28</v>
      </c>
    </row>
    <row r="419" spans="1:11" ht="15" customHeight="1" x14ac:dyDescent="0.25">
      <c r="A419" s="2" t="s">
        <v>161</v>
      </c>
      <c r="B419" s="2" t="s">
        <v>162</v>
      </c>
      <c r="C419" s="3">
        <v>564.12</v>
      </c>
      <c r="D419" s="3">
        <v>0</v>
      </c>
      <c r="E419" s="3">
        <v>0</v>
      </c>
      <c r="F419" s="3"/>
      <c r="G419" s="3">
        <v>0</v>
      </c>
      <c r="H419" s="3">
        <f t="shared" si="31"/>
        <v>0</v>
      </c>
      <c r="I419" s="3">
        <v>2000</v>
      </c>
      <c r="J419" s="5">
        <v>1500</v>
      </c>
      <c r="K419" s="2" t="s">
        <v>4062</v>
      </c>
    </row>
    <row r="420" spans="1:11" ht="15" customHeight="1" x14ac:dyDescent="0.25">
      <c r="A420" s="2" t="s">
        <v>163</v>
      </c>
      <c r="B420" s="2" t="s">
        <v>37</v>
      </c>
      <c r="C420" s="3">
        <v>19.57</v>
      </c>
      <c r="D420" s="3">
        <v>0</v>
      </c>
      <c r="E420" s="3">
        <v>18.489999999999998</v>
      </c>
      <c r="F420" s="3"/>
      <c r="G420" s="3">
        <v>18.489999999999998</v>
      </c>
      <c r="H420" s="3">
        <f t="shared" si="31"/>
        <v>20.170909090909088</v>
      </c>
      <c r="I420" s="3">
        <v>200</v>
      </c>
      <c r="J420" s="5">
        <v>150</v>
      </c>
      <c r="K420" s="2"/>
    </row>
    <row r="421" spans="1:11" ht="15" customHeight="1" x14ac:dyDescent="0.25">
      <c r="A421" s="2" t="s">
        <v>164</v>
      </c>
      <c r="B421" s="2" t="s">
        <v>90</v>
      </c>
      <c r="C421" s="3">
        <v>0</v>
      </c>
      <c r="D421" s="3">
        <v>0</v>
      </c>
      <c r="E421" s="3">
        <v>0</v>
      </c>
      <c r="F421" s="3"/>
      <c r="G421" s="3">
        <v>0</v>
      </c>
      <c r="H421" s="3">
        <f t="shared" si="31"/>
        <v>0</v>
      </c>
      <c r="I421" s="3">
        <v>300</v>
      </c>
      <c r="J421" s="5">
        <v>200</v>
      </c>
      <c r="K421" s="2" t="s">
        <v>4063</v>
      </c>
    </row>
    <row r="422" spans="1:11" x14ac:dyDescent="0.25">
      <c r="A422" s="2" t="s">
        <v>165</v>
      </c>
      <c r="B422" s="2" t="s">
        <v>119</v>
      </c>
      <c r="C422" s="3">
        <v>5198.22</v>
      </c>
      <c r="D422" s="3">
        <v>5714.29</v>
      </c>
      <c r="E422" s="3">
        <v>5714.29</v>
      </c>
      <c r="F422" s="3"/>
      <c r="G422" s="3">
        <v>5238.1000000000004</v>
      </c>
      <c r="H422" s="3">
        <f t="shared" si="31"/>
        <v>5714.2909090909097</v>
      </c>
      <c r="I422" s="3">
        <v>5714.29</v>
      </c>
      <c r="J422" s="5">
        <f>'Computer '!D10</f>
        <v>5198.2202684426229</v>
      </c>
      <c r="K422" s="2"/>
    </row>
    <row r="423" spans="1:11" ht="15" customHeight="1" x14ac:dyDescent="0.25">
      <c r="A423" s="2" t="s">
        <v>166</v>
      </c>
      <c r="B423" s="2" t="s">
        <v>144</v>
      </c>
      <c r="C423" s="3">
        <v>634.71</v>
      </c>
      <c r="D423" s="3">
        <v>89.98</v>
      </c>
      <c r="E423" s="3">
        <v>340.21</v>
      </c>
      <c r="F423" s="3"/>
      <c r="G423" s="3">
        <v>340.21</v>
      </c>
      <c r="H423" s="3">
        <f t="shared" si="31"/>
        <v>371.13818181818181</v>
      </c>
      <c r="I423" s="3">
        <v>650</v>
      </c>
      <c r="J423" s="5">
        <v>700</v>
      </c>
      <c r="K423" s="2" t="s">
        <v>3407</v>
      </c>
    </row>
    <row r="424" spans="1:11" ht="15" customHeight="1" x14ac:dyDescent="0.25">
      <c r="A424" s="2" t="s">
        <v>167</v>
      </c>
      <c r="B424" s="2" t="s">
        <v>99</v>
      </c>
      <c r="C424" s="3">
        <v>635.44000000000005</v>
      </c>
      <c r="D424" s="3">
        <v>211.98</v>
      </c>
      <c r="E424" s="3">
        <v>424.18</v>
      </c>
      <c r="F424" s="3"/>
      <c r="G424" s="3">
        <v>530.1</v>
      </c>
      <c r="H424" s="3">
        <f t="shared" si="31"/>
        <v>578.29090909090917</v>
      </c>
      <c r="I424" s="3">
        <v>700</v>
      </c>
      <c r="J424" s="5">
        <f>Phone!$C$8</f>
        <v>700</v>
      </c>
      <c r="K424" s="2"/>
    </row>
    <row r="425" spans="1:11" ht="15" customHeight="1" x14ac:dyDescent="0.25">
      <c r="A425" s="2" t="s">
        <v>168</v>
      </c>
      <c r="B425" s="2" t="s">
        <v>17</v>
      </c>
      <c r="C425" s="3">
        <v>0</v>
      </c>
      <c r="D425" s="3">
        <v>293.35000000000002</v>
      </c>
      <c r="E425" s="3">
        <v>293.35000000000002</v>
      </c>
      <c r="F425" s="3"/>
      <c r="G425" s="3">
        <v>293.35000000000002</v>
      </c>
      <c r="H425" s="3">
        <f t="shared" si="31"/>
        <v>320.01818181818186</v>
      </c>
      <c r="I425" s="3">
        <v>750</v>
      </c>
      <c r="J425" s="5">
        <v>1350</v>
      </c>
      <c r="K425" s="2" t="s">
        <v>4064</v>
      </c>
    </row>
    <row r="426" spans="1:11" ht="15" customHeight="1" x14ac:dyDescent="0.25">
      <c r="A426" s="2" t="s">
        <v>169</v>
      </c>
      <c r="B426" s="2" t="s">
        <v>64</v>
      </c>
      <c r="C426" s="3">
        <v>82.4</v>
      </c>
      <c r="D426" s="3">
        <v>63.73</v>
      </c>
      <c r="E426" s="3">
        <v>419.18</v>
      </c>
      <c r="F426" s="3"/>
      <c r="G426" s="3">
        <v>419.18</v>
      </c>
      <c r="H426" s="3">
        <f t="shared" si="31"/>
        <v>457.28727272727275</v>
      </c>
      <c r="I426" s="3">
        <v>250</v>
      </c>
      <c r="J426" s="5">
        <v>0</v>
      </c>
      <c r="K426" s="2"/>
    </row>
    <row r="427" spans="1:11" ht="15" customHeight="1" x14ac:dyDescent="0.25">
      <c r="A427" s="2" t="s">
        <v>170</v>
      </c>
      <c r="B427" s="2" t="s">
        <v>66</v>
      </c>
      <c r="C427" s="3">
        <v>231.08</v>
      </c>
      <c r="D427" s="3">
        <v>410</v>
      </c>
      <c r="E427" s="3">
        <v>410</v>
      </c>
      <c r="F427" s="3"/>
      <c r="G427" s="3">
        <v>410</v>
      </c>
      <c r="H427" s="3">
        <f t="shared" si="31"/>
        <v>447.27272727272725</v>
      </c>
      <c r="I427" s="3">
        <v>450</v>
      </c>
      <c r="J427" s="5">
        <v>600</v>
      </c>
      <c r="K427" s="2" t="s">
        <v>4065</v>
      </c>
    </row>
    <row r="428" spans="1:11" ht="15" customHeight="1" x14ac:dyDescent="0.25">
      <c r="A428" s="1" t="s">
        <v>171</v>
      </c>
      <c r="B428" s="1" t="s">
        <v>2</v>
      </c>
      <c r="C428" s="6">
        <v>125810.09</v>
      </c>
      <c r="D428" s="6">
        <v>67772.350000000006</v>
      </c>
      <c r="E428" s="6">
        <f>SUM(E412:E427)</f>
        <v>112652.55999999998</v>
      </c>
      <c r="F428" s="6"/>
      <c r="G428" s="6">
        <f>SUM(G412:G427)</f>
        <v>127527.94000000002</v>
      </c>
      <c r="H428" s="6">
        <f>SUM(H412:H427)</f>
        <v>139121.38909090913</v>
      </c>
      <c r="I428" s="6">
        <f>SUM(I412:I427)</f>
        <v>144087.66</v>
      </c>
      <c r="J428" s="6">
        <f>SUM(J412:J427)</f>
        <v>152809.15026844264</v>
      </c>
    </row>
    <row r="429" spans="1:11" x14ac:dyDescent="0.25">
      <c r="A429" s="1" t="s">
        <v>2</v>
      </c>
      <c r="B429" s="1" t="s">
        <v>2</v>
      </c>
      <c r="C429" s="1" t="s">
        <v>2</v>
      </c>
      <c r="D429" s="1" t="s">
        <v>2</v>
      </c>
      <c r="E429" s="1"/>
      <c r="F429" s="1"/>
      <c r="G429" s="1"/>
      <c r="H429" s="1"/>
      <c r="I429" s="1" t="s">
        <v>2</v>
      </c>
      <c r="J429" s="1" t="s">
        <v>2</v>
      </c>
    </row>
    <row r="430" spans="1:11" x14ac:dyDescent="0.25">
      <c r="A430" s="1" t="s">
        <v>172</v>
      </c>
      <c r="B430" s="1" t="s">
        <v>2</v>
      </c>
    </row>
    <row r="431" spans="1:11" ht="15" customHeight="1" x14ac:dyDescent="0.25">
      <c r="A431" s="2" t="s">
        <v>173</v>
      </c>
      <c r="B431" s="2" t="s">
        <v>174</v>
      </c>
      <c r="C431" s="3">
        <v>0</v>
      </c>
      <c r="D431" s="3">
        <v>0</v>
      </c>
      <c r="E431" s="3">
        <v>0</v>
      </c>
      <c r="F431" s="3"/>
      <c r="G431" s="3">
        <v>0</v>
      </c>
      <c r="H431" s="3">
        <f>G431/11*12</f>
        <v>0</v>
      </c>
      <c r="I431" s="3">
        <v>0</v>
      </c>
      <c r="J431" s="5">
        <v>0</v>
      </c>
    </row>
    <row r="432" spans="1:11" ht="15" customHeight="1" x14ac:dyDescent="0.25">
      <c r="A432" s="2" t="s">
        <v>175</v>
      </c>
      <c r="B432" s="2" t="s">
        <v>176</v>
      </c>
      <c r="C432" s="3">
        <v>86113.74</v>
      </c>
      <c r="D432" s="3">
        <v>33953.050000000003</v>
      </c>
      <c r="E432" s="3">
        <v>62217.8</v>
      </c>
      <c r="F432" s="3"/>
      <c r="G432" s="3">
        <v>78980.649999999994</v>
      </c>
      <c r="H432" s="3">
        <f t="shared" ref="H432:H434" si="32">G432/11*12</f>
        <v>86160.709090909091</v>
      </c>
      <c r="I432" s="3">
        <v>100000</v>
      </c>
      <c r="J432" s="5">
        <v>100000</v>
      </c>
    </row>
    <row r="433" spans="1:10" ht="15" customHeight="1" x14ac:dyDescent="0.25">
      <c r="A433" s="2" t="s">
        <v>177</v>
      </c>
      <c r="B433" s="2" t="s">
        <v>178</v>
      </c>
      <c r="C433" s="3">
        <v>18014.25</v>
      </c>
      <c r="D433" s="3">
        <v>7166.25</v>
      </c>
      <c r="E433" s="3">
        <v>8305.5</v>
      </c>
      <c r="F433" s="3"/>
      <c r="G433" s="3">
        <v>11868.75</v>
      </c>
      <c r="H433" s="3">
        <f t="shared" si="32"/>
        <v>12947.727272727272</v>
      </c>
      <c r="I433" s="3">
        <v>0</v>
      </c>
      <c r="J433" s="5">
        <v>0</v>
      </c>
    </row>
    <row r="434" spans="1:10" ht="15" customHeight="1" x14ac:dyDescent="0.25">
      <c r="A434" s="2" t="s">
        <v>179</v>
      </c>
      <c r="B434" s="2" t="s">
        <v>180</v>
      </c>
      <c r="C434" s="3">
        <v>6444.59</v>
      </c>
      <c r="D434" s="3">
        <v>0</v>
      </c>
      <c r="E434" s="3">
        <v>4015</v>
      </c>
      <c r="F434" s="3"/>
      <c r="G434" s="3">
        <v>11481</v>
      </c>
      <c r="H434" s="3">
        <f t="shared" si="32"/>
        <v>12524.727272727272</v>
      </c>
      <c r="I434" s="3">
        <v>10000</v>
      </c>
      <c r="J434" s="5">
        <v>10000</v>
      </c>
    </row>
    <row r="435" spans="1:10" ht="15" customHeight="1" x14ac:dyDescent="0.25">
      <c r="A435" s="1" t="s">
        <v>181</v>
      </c>
      <c r="B435" s="1" t="s">
        <v>2</v>
      </c>
      <c r="C435" s="6">
        <v>110572.58</v>
      </c>
      <c r="D435" s="6">
        <v>41119.300000000003</v>
      </c>
      <c r="E435" s="6">
        <f>SUM(E431:E434)</f>
        <v>74538.3</v>
      </c>
      <c r="F435" s="6"/>
      <c r="G435" s="6">
        <f>SUM(G431:G434)</f>
        <v>102330.4</v>
      </c>
      <c r="H435" s="6">
        <f>SUM(H431:H434)</f>
        <v>111633.16363636364</v>
      </c>
      <c r="I435" s="6">
        <f>SUM(I431:I434)</f>
        <v>110000</v>
      </c>
      <c r="J435" s="6">
        <f>SUM(J431:J434)</f>
        <v>110000</v>
      </c>
    </row>
    <row r="436" spans="1:10" x14ac:dyDescent="0.25">
      <c r="A436" s="1" t="s">
        <v>2</v>
      </c>
      <c r="B436" s="1" t="s">
        <v>2</v>
      </c>
      <c r="C436" s="1" t="s">
        <v>2</v>
      </c>
      <c r="D436" s="1" t="s">
        <v>2</v>
      </c>
      <c r="E436" s="1"/>
      <c r="F436" s="1"/>
      <c r="G436" s="1"/>
      <c r="H436" s="1"/>
      <c r="I436" s="1" t="s">
        <v>2</v>
      </c>
      <c r="J436" s="1" t="s">
        <v>2</v>
      </c>
    </row>
    <row r="437" spans="1:10" ht="15" customHeight="1" x14ac:dyDescent="0.25">
      <c r="A437" s="1" t="s">
        <v>182</v>
      </c>
      <c r="B437" s="1" t="s">
        <v>2</v>
      </c>
    </row>
    <row r="438" spans="1:10" ht="15" customHeight="1" x14ac:dyDescent="0.25">
      <c r="A438" s="2" t="s">
        <v>183</v>
      </c>
      <c r="B438" s="2" t="s">
        <v>184</v>
      </c>
      <c r="C438" s="3">
        <v>33264.300000000003</v>
      </c>
      <c r="D438" s="3">
        <v>0</v>
      </c>
      <c r="E438" s="3">
        <v>0</v>
      </c>
      <c r="F438" s="3"/>
      <c r="G438" s="3">
        <v>0</v>
      </c>
      <c r="H438" s="3">
        <f>G438/11*12</f>
        <v>0</v>
      </c>
      <c r="I438" s="3">
        <v>30000</v>
      </c>
      <c r="J438" s="5">
        <v>30000</v>
      </c>
    </row>
    <row r="439" spans="1:10" x14ac:dyDescent="0.25">
      <c r="A439" s="2" t="s">
        <v>185</v>
      </c>
      <c r="B439" s="2" t="s">
        <v>186</v>
      </c>
      <c r="C439" s="3">
        <v>5213.09</v>
      </c>
      <c r="D439" s="3">
        <v>0</v>
      </c>
      <c r="E439" s="3">
        <v>0</v>
      </c>
      <c r="F439" s="3"/>
      <c r="G439" s="3">
        <v>0</v>
      </c>
      <c r="H439" s="3">
        <f t="shared" ref="H439:H486" si="33">G439/11*12</f>
        <v>0</v>
      </c>
      <c r="I439" s="3">
        <v>20000</v>
      </c>
      <c r="J439" s="5">
        <v>20000</v>
      </c>
    </row>
    <row r="440" spans="1:10" ht="15" customHeight="1" x14ac:dyDescent="0.25">
      <c r="A440" s="2" t="s">
        <v>187</v>
      </c>
      <c r="B440" s="2" t="s">
        <v>188</v>
      </c>
      <c r="C440" s="3">
        <v>366941</v>
      </c>
      <c r="D440" s="3">
        <v>412755</v>
      </c>
      <c r="E440" s="3">
        <v>412755</v>
      </c>
      <c r="F440" s="3"/>
      <c r="G440" s="3">
        <v>412755</v>
      </c>
      <c r="H440" s="3">
        <f t="shared" si="33"/>
        <v>450278.18181818177</v>
      </c>
      <c r="I440" s="3">
        <v>433514.7</v>
      </c>
      <c r="J440" s="302">
        <f>H440*1.15</f>
        <v>517819.909090909</v>
      </c>
    </row>
    <row r="441" spans="1:10" ht="15" customHeight="1" x14ac:dyDescent="0.25">
      <c r="A441" s="2" t="s">
        <v>189</v>
      </c>
      <c r="B441" s="2" t="s">
        <v>190</v>
      </c>
      <c r="C441" s="3">
        <v>0</v>
      </c>
      <c r="D441" s="3">
        <v>0</v>
      </c>
      <c r="E441" s="3">
        <v>0</v>
      </c>
      <c r="F441" s="3"/>
      <c r="G441" s="3">
        <v>0</v>
      </c>
      <c r="H441" s="3">
        <f t="shared" si="33"/>
        <v>0</v>
      </c>
      <c r="I441" s="3">
        <v>10000</v>
      </c>
      <c r="J441" s="5">
        <v>10000</v>
      </c>
    </row>
    <row r="442" spans="1:10" ht="15" customHeight="1" x14ac:dyDescent="0.25">
      <c r="A442" s="2" t="s">
        <v>191</v>
      </c>
      <c r="B442" s="2" t="s">
        <v>192</v>
      </c>
      <c r="C442" s="3">
        <v>-75387.66</v>
      </c>
      <c r="D442" s="3">
        <v>0</v>
      </c>
      <c r="E442" s="3">
        <v>0</v>
      </c>
      <c r="F442" s="3"/>
      <c r="G442" s="3">
        <v>0</v>
      </c>
      <c r="H442" s="3">
        <f t="shared" si="33"/>
        <v>0</v>
      </c>
      <c r="I442" s="3">
        <v>-108378.67</v>
      </c>
      <c r="J442" s="5">
        <f>-'550 Equipment'!H55</f>
        <v>-110000</v>
      </c>
    </row>
    <row r="443" spans="1:10" ht="15" customHeight="1" x14ac:dyDescent="0.25">
      <c r="A443" s="2" t="s">
        <v>193</v>
      </c>
      <c r="B443" s="2" t="s">
        <v>194</v>
      </c>
      <c r="C443" s="3">
        <v>0</v>
      </c>
      <c r="D443" s="3">
        <v>0</v>
      </c>
      <c r="E443" s="3">
        <v>0</v>
      </c>
      <c r="F443" s="3"/>
      <c r="G443" s="3">
        <v>0</v>
      </c>
      <c r="H443" s="3">
        <f t="shared" si="33"/>
        <v>0</v>
      </c>
      <c r="I443" s="3">
        <v>0</v>
      </c>
      <c r="J443" s="5">
        <v>0</v>
      </c>
    </row>
    <row r="444" spans="1:10" ht="15" customHeight="1" x14ac:dyDescent="0.25">
      <c r="A444" s="2" t="s">
        <v>195</v>
      </c>
      <c r="B444" s="2" t="s">
        <v>196</v>
      </c>
      <c r="C444" s="3">
        <v>1876.67</v>
      </c>
      <c r="D444" s="3">
        <v>1604.1</v>
      </c>
      <c r="E444" s="3">
        <v>1824.27</v>
      </c>
      <c r="F444" s="3"/>
      <c r="G444" s="3">
        <v>2760.67</v>
      </c>
      <c r="H444" s="3">
        <f t="shared" si="33"/>
        <v>3011.64</v>
      </c>
      <c r="I444" s="3">
        <v>3000</v>
      </c>
      <c r="J444" s="5">
        <v>3000</v>
      </c>
    </row>
    <row r="445" spans="1:10" ht="15" customHeight="1" x14ac:dyDescent="0.25">
      <c r="A445" s="2" t="s">
        <v>197</v>
      </c>
      <c r="B445" s="2" t="s">
        <v>198</v>
      </c>
      <c r="C445" s="3">
        <v>8001.59</v>
      </c>
      <c r="D445" s="3">
        <v>8859.9699999999993</v>
      </c>
      <c r="E445" s="3">
        <v>8859.9699999999993</v>
      </c>
      <c r="F445" s="3"/>
      <c r="G445" s="3">
        <v>8121.64</v>
      </c>
      <c r="H445" s="3">
        <f t="shared" si="33"/>
        <v>8859.9709090909091</v>
      </c>
      <c r="I445" s="3">
        <v>8859.9699999999993</v>
      </c>
      <c r="J445" s="5">
        <f>'Computer '!D11</f>
        <v>8001.5895939036855</v>
      </c>
    </row>
    <row r="446" spans="1:10" ht="15" customHeight="1" x14ac:dyDescent="0.25">
      <c r="A446" s="2" t="s">
        <v>199</v>
      </c>
      <c r="B446" s="2" t="s">
        <v>92</v>
      </c>
      <c r="C446" s="3">
        <v>9393.91</v>
      </c>
      <c r="D446" s="3">
        <v>11703.78</v>
      </c>
      <c r="E446" s="3">
        <v>11703.78</v>
      </c>
      <c r="F446" s="3"/>
      <c r="G446" s="3">
        <v>10728.47</v>
      </c>
      <c r="H446" s="3">
        <f t="shared" si="33"/>
        <v>11703.785454545454</v>
      </c>
      <c r="I446" s="3">
        <v>11703.78</v>
      </c>
      <c r="J446" s="5">
        <f>+Equipment!$C$8</f>
        <v>9393.9078378378381</v>
      </c>
    </row>
    <row r="447" spans="1:10" ht="15" customHeight="1" x14ac:dyDescent="0.25">
      <c r="A447" s="2" t="s">
        <v>200</v>
      </c>
      <c r="B447" s="2" t="s">
        <v>95</v>
      </c>
      <c r="C447" s="3">
        <v>21821.69</v>
      </c>
      <c r="D447" s="3">
        <v>5350</v>
      </c>
      <c r="E447" s="3">
        <v>5350</v>
      </c>
      <c r="F447" s="3"/>
      <c r="G447" s="3">
        <v>18116.490000000002</v>
      </c>
      <c r="H447" s="3">
        <f t="shared" si="33"/>
        <v>19763.443636363638</v>
      </c>
      <c r="I447" s="3">
        <v>8000</v>
      </c>
      <c r="J447" s="5">
        <v>8000</v>
      </c>
    </row>
    <row r="448" spans="1:10" ht="15" customHeight="1" x14ac:dyDescent="0.25">
      <c r="A448" s="2" t="s">
        <v>201</v>
      </c>
      <c r="B448" s="2" t="s">
        <v>202</v>
      </c>
      <c r="C448" s="3">
        <v>7095.49</v>
      </c>
      <c r="D448" s="3">
        <v>0</v>
      </c>
      <c r="E448" s="3">
        <v>3564.83</v>
      </c>
      <c r="F448" s="3"/>
      <c r="G448" s="3">
        <v>4816.92</v>
      </c>
      <c r="H448" s="3">
        <f t="shared" si="33"/>
        <v>5254.8218181818183</v>
      </c>
      <c r="I448" s="3">
        <v>6000</v>
      </c>
      <c r="J448" s="5">
        <v>6000</v>
      </c>
    </row>
    <row r="449" spans="1:10" ht="15" customHeight="1" x14ac:dyDescent="0.25">
      <c r="A449" s="2" t="s">
        <v>203</v>
      </c>
      <c r="B449" s="2" t="s">
        <v>204</v>
      </c>
      <c r="C449" s="3">
        <v>4863.3</v>
      </c>
      <c r="D449" s="3">
        <v>5398.65</v>
      </c>
      <c r="E449" s="3">
        <v>5398.65</v>
      </c>
      <c r="F449" s="3"/>
      <c r="G449" s="3">
        <v>5398.65</v>
      </c>
      <c r="H449" s="3">
        <f t="shared" si="33"/>
        <v>5889.4363636363632</v>
      </c>
      <c r="I449" s="3">
        <v>40000</v>
      </c>
      <c r="J449" s="5">
        <v>40000</v>
      </c>
    </row>
    <row r="450" spans="1:10" ht="15" customHeight="1" x14ac:dyDescent="0.25">
      <c r="A450" s="2" t="s">
        <v>205</v>
      </c>
      <c r="B450" s="2" t="s">
        <v>57</v>
      </c>
      <c r="C450" s="3">
        <v>6627.73</v>
      </c>
      <c r="D450" s="3">
        <v>1973.79</v>
      </c>
      <c r="E450" s="3">
        <v>7264.17</v>
      </c>
      <c r="F450" s="3"/>
      <c r="G450" s="3">
        <v>8968.6200000000008</v>
      </c>
      <c r="H450" s="3">
        <f t="shared" si="33"/>
        <v>9783.949090909091</v>
      </c>
      <c r="I450" s="3">
        <v>5500</v>
      </c>
      <c r="J450" s="5">
        <f>Phone!$C$9</f>
        <v>5500</v>
      </c>
    </row>
    <row r="451" spans="1:10" ht="15" customHeight="1" x14ac:dyDescent="0.25">
      <c r="A451" s="2" t="s">
        <v>206</v>
      </c>
      <c r="B451" s="2" t="s">
        <v>144</v>
      </c>
      <c r="C451" s="3">
        <v>0</v>
      </c>
      <c r="D451" s="3">
        <v>0</v>
      </c>
      <c r="E451" s="3">
        <v>250</v>
      </c>
      <c r="F451" s="3"/>
      <c r="G451" s="3">
        <v>250</v>
      </c>
      <c r="H451" s="3">
        <f t="shared" si="33"/>
        <v>272.72727272727275</v>
      </c>
      <c r="I451" s="3">
        <v>1000</v>
      </c>
      <c r="J451" s="5">
        <v>1000</v>
      </c>
    </row>
    <row r="452" spans="1:10" ht="15" customHeight="1" x14ac:dyDescent="0.25">
      <c r="A452" s="2" t="s">
        <v>207</v>
      </c>
      <c r="B452" s="2" t="s">
        <v>208</v>
      </c>
      <c r="C452" s="3">
        <v>8108.12</v>
      </c>
      <c r="D452" s="3">
        <v>3380.19</v>
      </c>
      <c r="E452" s="3">
        <v>6084.37</v>
      </c>
      <c r="F452" s="3"/>
      <c r="G452" s="3">
        <v>7436.45</v>
      </c>
      <c r="H452" s="3">
        <f t="shared" si="33"/>
        <v>8112.4909090909086</v>
      </c>
      <c r="I452" s="3">
        <v>9000</v>
      </c>
      <c r="J452" s="5">
        <v>9000</v>
      </c>
    </row>
    <row r="453" spans="1:10" ht="15" customHeight="1" x14ac:dyDescent="0.25">
      <c r="A453" s="2" t="s">
        <v>209</v>
      </c>
      <c r="B453" s="2" t="s">
        <v>210</v>
      </c>
      <c r="C453" s="3">
        <v>3588.76</v>
      </c>
      <c r="D453" s="3">
        <v>1795.22</v>
      </c>
      <c r="E453" s="3">
        <v>2935.68</v>
      </c>
      <c r="F453" s="3"/>
      <c r="G453" s="3">
        <v>3635.82</v>
      </c>
      <c r="H453" s="3">
        <f t="shared" si="33"/>
        <v>3966.3490909090915</v>
      </c>
      <c r="I453" s="3">
        <v>4000</v>
      </c>
      <c r="J453" s="5">
        <v>4000</v>
      </c>
    </row>
    <row r="454" spans="1:10" ht="15" customHeight="1" x14ac:dyDescent="0.25">
      <c r="A454" s="2" t="s">
        <v>211</v>
      </c>
      <c r="B454" s="2" t="s">
        <v>62</v>
      </c>
      <c r="C454" s="3">
        <v>2864.69</v>
      </c>
      <c r="D454" s="3">
        <v>2062.59</v>
      </c>
      <c r="E454" s="3">
        <v>2993</v>
      </c>
      <c r="F454" s="3"/>
      <c r="G454" s="3">
        <v>3448.06</v>
      </c>
      <c r="H454" s="3">
        <f t="shared" si="33"/>
        <v>3761.5199999999995</v>
      </c>
      <c r="I454" s="3">
        <v>2800</v>
      </c>
      <c r="J454" s="5">
        <v>2800</v>
      </c>
    </row>
    <row r="455" spans="1:10" ht="15" customHeight="1" x14ac:dyDescent="0.25">
      <c r="A455" s="2" t="s">
        <v>212</v>
      </c>
      <c r="B455" s="2" t="s">
        <v>213</v>
      </c>
      <c r="C455" s="3">
        <v>4077.04</v>
      </c>
      <c r="D455" s="3">
        <v>3028.98</v>
      </c>
      <c r="E455" s="3">
        <v>3425.93</v>
      </c>
      <c r="F455" s="3"/>
      <c r="G455" s="3">
        <v>3629.13</v>
      </c>
      <c r="H455" s="3">
        <f t="shared" si="33"/>
        <v>3959.050909090909</v>
      </c>
      <c r="I455" s="3">
        <v>4000</v>
      </c>
      <c r="J455" s="5">
        <f>H455*1.2956</f>
        <v>5129.3463578181818</v>
      </c>
    </row>
    <row r="456" spans="1:10" ht="15" customHeight="1" x14ac:dyDescent="0.25">
      <c r="A456" s="2" t="s">
        <v>214</v>
      </c>
      <c r="B456" s="2" t="s">
        <v>215</v>
      </c>
      <c r="C456" s="3">
        <v>12006.41</v>
      </c>
      <c r="D456" s="3">
        <v>3881.7</v>
      </c>
      <c r="E456" s="3">
        <v>8630.68</v>
      </c>
      <c r="F456" s="3"/>
      <c r="G456" s="3">
        <v>9125.5300000000007</v>
      </c>
      <c r="H456" s="3">
        <f t="shared" si="33"/>
        <v>9955.1236363636363</v>
      </c>
      <c r="I456" s="3">
        <v>15500</v>
      </c>
      <c r="J456" s="5">
        <f>H456*1.1482</f>
        <v>11430.472959272729</v>
      </c>
    </row>
    <row r="457" spans="1:10" ht="15" customHeight="1" x14ac:dyDescent="0.25">
      <c r="A457" s="2" t="s">
        <v>216</v>
      </c>
      <c r="B457" s="2" t="s">
        <v>217</v>
      </c>
      <c r="C457" s="3">
        <v>2997</v>
      </c>
      <c r="D457" s="3">
        <v>1295.6600000000001</v>
      </c>
      <c r="E457" s="3">
        <v>2160.1799999999998</v>
      </c>
      <c r="F457" s="3"/>
      <c r="G457" s="3">
        <v>2160.1799999999998</v>
      </c>
      <c r="H457" s="3">
        <f t="shared" si="33"/>
        <v>2356.56</v>
      </c>
      <c r="I457" s="3">
        <v>3500</v>
      </c>
      <c r="J457" s="5">
        <v>3500</v>
      </c>
    </row>
    <row r="458" spans="1:10" ht="15" customHeight="1" x14ac:dyDescent="0.25">
      <c r="A458" s="2" t="s">
        <v>218</v>
      </c>
      <c r="B458" s="2" t="s">
        <v>219</v>
      </c>
      <c r="C458" s="3">
        <v>8149.89</v>
      </c>
      <c r="D458" s="3">
        <v>0</v>
      </c>
      <c r="E458" s="3">
        <v>0</v>
      </c>
      <c r="F458" s="3"/>
      <c r="G458" s="3">
        <v>0</v>
      </c>
      <c r="H458" s="3">
        <f t="shared" si="33"/>
        <v>0</v>
      </c>
      <c r="I458" s="3">
        <v>1500</v>
      </c>
      <c r="J458" s="5">
        <v>1500</v>
      </c>
    </row>
    <row r="459" spans="1:10" ht="15" customHeight="1" x14ac:dyDescent="0.25">
      <c r="A459" s="2" t="s">
        <v>220</v>
      </c>
      <c r="B459" s="2" t="s">
        <v>221</v>
      </c>
      <c r="C459" s="3">
        <v>15391.55</v>
      </c>
      <c r="D459" s="3">
        <v>3026.19</v>
      </c>
      <c r="E459" s="3">
        <v>7399.47</v>
      </c>
      <c r="F459" s="3"/>
      <c r="G459" s="3">
        <v>7700.94</v>
      </c>
      <c r="H459" s="3">
        <f t="shared" si="33"/>
        <v>8401.0254545454536</v>
      </c>
      <c r="I459" s="3">
        <v>10000</v>
      </c>
      <c r="J459" s="5">
        <v>10000</v>
      </c>
    </row>
    <row r="460" spans="1:10" ht="15" customHeight="1" x14ac:dyDescent="0.25">
      <c r="A460" s="2" t="s">
        <v>222</v>
      </c>
      <c r="B460" s="2" t="s">
        <v>223</v>
      </c>
      <c r="C460" s="3">
        <v>3000</v>
      </c>
      <c r="D460" s="3">
        <v>3000</v>
      </c>
      <c r="E460" s="3">
        <v>3000</v>
      </c>
      <c r="F460" s="3"/>
      <c r="G460" s="3">
        <v>3000</v>
      </c>
      <c r="H460" s="3">
        <f t="shared" si="33"/>
        <v>3272.727272727273</v>
      </c>
      <c r="I460" s="3">
        <v>3000</v>
      </c>
      <c r="J460" s="5">
        <v>3000</v>
      </c>
    </row>
    <row r="461" spans="1:10" x14ac:dyDescent="0.25">
      <c r="A461" s="2" t="s">
        <v>224</v>
      </c>
      <c r="B461" s="2" t="s">
        <v>225</v>
      </c>
      <c r="C461" s="3">
        <v>0</v>
      </c>
      <c r="D461" s="3">
        <v>0</v>
      </c>
      <c r="E461" s="3">
        <v>0</v>
      </c>
      <c r="F461" s="3"/>
      <c r="G461" s="3">
        <v>0</v>
      </c>
      <c r="H461" s="3">
        <f t="shared" si="33"/>
        <v>0</v>
      </c>
      <c r="I461" s="3">
        <v>0</v>
      </c>
      <c r="J461" s="5">
        <v>0</v>
      </c>
    </row>
    <row r="462" spans="1:10" ht="15" customHeight="1" x14ac:dyDescent="0.25">
      <c r="A462" s="2" t="s">
        <v>226</v>
      </c>
      <c r="B462" s="2" t="s">
        <v>227</v>
      </c>
      <c r="C462" s="3">
        <v>8000</v>
      </c>
      <c r="D462" s="3">
        <v>10000</v>
      </c>
      <c r="E462" s="3">
        <v>10000</v>
      </c>
      <c r="F462" s="3"/>
      <c r="G462" s="3">
        <v>10000</v>
      </c>
      <c r="H462" s="3">
        <f t="shared" si="33"/>
        <v>10909.09090909091</v>
      </c>
      <c r="I462" s="3">
        <v>10000</v>
      </c>
      <c r="J462" s="5">
        <v>10000</v>
      </c>
    </row>
    <row r="463" spans="1:10" ht="15" customHeight="1" x14ac:dyDescent="0.25">
      <c r="A463" s="2" t="s">
        <v>228</v>
      </c>
      <c r="B463" s="2" t="s">
        <v>229</v>
      </c>
      <c r="C463" s="3">
        <v>0</v>
      </c>
      <c r="D463" s="3">
        <v>0</v>
      </c>
      <c r="E463" s="3">
        <v>0</v>
      </c>
      <c r="F463" s="3"/>
      <c r="G463" s="3">
        <v>0</v>
      </c>
      <c r="H463" s="3">
        <f t="shared" si="33"/>
        <v>0</v>
      </c>
      <c r="I463" s="3">
        <v>0</v>
      </c>
      <c r="J463" s="5">
        <v>0</v>
      </c>
    </row>
    <row r="464" spans="1:10" x14ac:dyDescent="0.25">
      <c r="A464" s="2" t="s">
        <v>230</v>
      </c>
      <c r="B464" s="2" t="s">
        <v>231</v>
      </c>
      <c r="C464" s="3">
        <v>19976.41</v>
      </c>
      <c r="D464" s="3">
        <v>0</v>
      </c>
      <c r="E464" s="3">
        <v>0</v>
      </c>
      <c r="F464" s="3"/>
      <c r="G464" s="3">
        <v>0</v>
      </c>
      <c r="H464" s="3">
        <f t="shared" si="33"/>
        <v>0</v>
      </c>
      <c r="I464" s="3">
        <v>30000</v>
      </c>
      <c r="J464" s="5">
        <v>30000</v>
      </c>
    </row>
    <row r="465" spans="1:12" ht="15" customHeight="1" x14ac:dyDescent="0.25">
      <c r="A465" s="2" t="s">
        <v>232</v>
      </c>
      <c r="B465" s="2" t="s">
        <v>233</v>
      </c>
      <c r="C465" s="3">
        <v>355.84</v>
      </c>
      <c r="D465" s="3">
        <v>152.63999999999999</v>
      </c>
      <c r="E465" s="3">
        <v>526.94000000000005</v>
      </c>
      <c r="F465" s="3"/>
      <c r="G465" s="3">
        <v>600.41</v>
      </c>
      <c r="H465" s="3">
        <f t="shared" si="33"/>
        <v>654.99272727272728</v>
      </c>
      <c r="I465" s="3">
        <v>1000</v>
      </c>
      <c r="J465" s="5">
        <v>1000</v>
      </c>
    </row>
    <row r="466" spans="1:12" ht="15" customHeight="1" x14ac:dyDescent="0.25">
      <c r="A466" s="2" t="s">
        <v>234</v>
      </c>
      <c r="B466" s="2" t="s">
        <v>235</v>
      </c>
      <c r="C466" s="3">
        <v>8752</v>
      </c>
      <c r="D466" s="3">
        <v>9887</v>
      </c>
      <c r="E466" s="3">
        <v>13637</v>
      </c>
      <c r="F466" s="3"/>
      <c r="G466" s="3">
        <v>18817.63</v>
      </c>
      <c r="H466" s="3">
        <f t="shared" si="33"/>
        <v>20528.323636363639</v>
      </c>
      <c r="I466" s="3">
        <v>9605</v>
      </c>
      <c r="J466" s="5">
        <v>10200</v>
      </c>
    </row>
    <row r="467" spans="1:12" ht="15" customHeight="1" x14ac:dyDescent="0.25">
      <c r="A467" s="2" t="s">
        <v>236</v>
      </c>
      <c r="B467" s="2" t="s">
        <v>237</v>
      </c>
      <c r="C467" s="3">
        <v>10749</v>
      </c>
      <c r="D467" s="3">
        <v>11470</v>
      </c>
      <c r="E467" s="3">
        <v>11470</v>
      </c>
      <c r="F467" s="3"/>
      <c r="G467" s="3">
        <v>11470</v>
      </c>
      <c r="H467" s="3">
        <f t="shared" si="33"/>
        <v>12512.727272727272</v>
      </c>
      <c r="I467" s="3">
        <v>11787</v>
      </c>
      <c r="J467" s="5">
        <v>11787</v>
      </c>
    </row>
    <row r="468" spans="1:12" ht="15" customHeight="1" x14ac:dyDescent="0.25">
      <c r="A468" s="2" t="s">
        <v>238</v>
      </c>
      <c r="B468" s="2" t="s">
        <v>239</v>
      </c>
      <c r="C468" s="3">
        <v>1098.0899999999999</v>
      </c>
      <c r="D468" s="3">
        <v>1097.68</v>
      </c>
      <c r="E468" s="3">
        <v>1097.68</v>
      </c>
      <c r="F468" s="3"/>
      <c r="G468" s="3">
        <v>1097.68</v>
      </c>
      <c r="H468" s="3">
        <f t="shared" si="33"/>
        <v>1197.4690909090909</v>
      </c>
      <c r="I468" s="3">
        <v>1100</v>
      </c>
      <c r="J468" s="5">
        <v>1100</v>
      </c>
    </row>
    <row r="469" spans="1:12" ht="15" customHeight="1" x14ac:dyDescent="0.25">
      <c r="A469" s="2" t="s">
        <v>240</v>
      </c>
      <c r="B469" s="2" t="s">
        <v>241</v>
      </c>
      <c r="C469" s="3">
        <v>100</v>
      </c>
      <c r="D469" s="3">
        <v>0</v>
      </c>
      <c r="E469" s="3">
        <v>0</v>
      </c>
      <c r="F469" s="3"/>
      <c r="G469" s="3">
        <v>0</v>
      </c>
      <c r="H469" s="3">
        <f t="shared" si="33"/>
        <v>0</v>
      </c>
      <c r="I469" s="3">
        <v>150</v>
      </c>
      <c r="J469" s="5">
        <v>150</v>
      </c>
    </row>
    <row r="470" spans="1:12" ht="15" customHeight="1" x14ac:dyDescent="0.25">
      <c r="A470" s="2" t="s">
        <v>242</v>
      </c>
      <c r="B470" s="2" t="s">
        <v>243</v>
      </c>
      <c r="C470" s="3">
        <v>4000</v>
      </c>
      <c r="D470" s="3">
        <v>4000</v>
      </c>
      <c r="E470" s="3">
        <v>4000</v>
      </c>
      <c r="F470" s="3"/>
      <c r="G470" s="3">
        <v>4000</v>
      </c>
      <c r="H470" s="3">
        <f t="shared" si="33"/>
        <v>4363.636363636364</v>
      </c>
      <c r="I470" s="3">
        <v>4000</v>
      </c>
      <c r="J470" s="5">
        <v>0</v>
      </c>
      <c r="L470" s="318" t="s">
        <v>4183</v>
      </c>
    </row>
    <row r="471" spans="1:12" x14ac:dyDescent="0.25">
      <c r="A471" s="2" t="s">
        <v>244</v>
      </c>
      <c r="B471" s="2" t="s">
        <v>245</v>
      </c>
      <c r="C471" s="3">
        <v>15022.46</v>
      </c>
      <c r="D471" s="3">
        <v>1425.22</v>
      </c>
      <c r="E471" s="3">
        <v>11485.38</v>
      </c>
      <c r="F471" s="3"/>
      <c r="G471" s="3">
        <v>13794.08</v>
      </c>
      <c r="H471" s="3">
        <f t="shared" si="33"/>
        <v>15048.087272727273</v>
      </c>
      <c r="I471" s="3">
        <v>30000</v>
      </c>
      <c r="J471" s="5">
        <v>30000</v>
      </c>
    </row>
    <row r="472" spans="1:12" ht="15" customHeight="1" x14ac:dyDescent="0.25">
      <c r="A472" s="2" t="s">
        <v>246</v>
      </c>
      <c r="B472" s="2" t="s">
        <v>247</v>
      </c>
      <c r="C472" s="3">
        <v>32570</v>
      </c>
      <c r="D472" s="3">
        <v>8105</v>
      </c>
      <c r="E472" s="3">
        <v>8105</v>
      </c>
      <c r="F472" s="3"/>
      <c r="G472" s="3">
        <v>8105</v>
      </c>
      <c r="H472" s="3">
        <f t="shared" si="33"/>
        <v>8841.818181818182</v>
      </c>
      <c r="I472" s="3">
        <v>34000</v>
      </c>
      <c r="J472" s="5">
        <f>I472*1.1</f>
        <v>37400</v>
      </c>
    </row>
    <row r="473" spans="1:12" ht="15" customHeight="1" x14ac:dyDescent="0.25">
      <c r="A473" s="2" t="s">
        <v>248</v>
      </c>
      <c r="B473" s="2" t="s">
        <v>249</v>
      </c>
      <c r="C473" s="3">
        <v>5000</v>
      </c>
      <c r="D473" s="3">
        <v>10000</v>
      </c>
      <c r="E473" s="3">
        <v>10000</v>
      </c>
      <c r="F473" s="3"/>
      <c r="G473" s="3">
        <v>10000</v>
      </c>
      <c r="H473" s="3">
        <f t="shared" si="33"/>
        <v>10909.09090909091</v>
      </c>
      <c r="I473" s="3">
        <v>10000</v>
      </c>
      <c r="J473" s="5">
        <v>0</v>
      </c>
      <c r="L473" s="318" t="s">
        <v>4183</v>
      </c>
    </row>
    <row r="474" spans="1:12" x14ac:dyDescent="0.25">
      <c r="A474" s="2" t="s">
        <v>250</v>
      </c>
      <c r="B474" s="2" t="s">
        <v>251</v>
      </c>
      <c r="C474" s="3">
        <v>1080</v>
      </c>
      <c r="D474" s="3">
        <v>2000</v>
      </c>
      <c r="E474" s="3">
        <v>2291.59</v>
      </c>
      <c r="F474" s="3"/>
      <c r="G474" s="3">
        <v>2291.59</v>
      </c>
      <c r="H474" s="3">
        <f t="shared" si="33"/>
        <v>2499.9163636363637</v>
      </c>
      <c r="I474" s="3">
        <v>2000</v>
      </c>
      <c r="J474" s="5">
        <v>0</v>
      </c>
      <c r="L474" s="318" t="s">
        <v>4183</v>
      </c>
    </row>
    <row r="475" spans="1:12" ht="15" customHeight="1" x14ac:dyDescent="0.25">
      <c r="A475" s="2" t="s">
        <v>252</v>
      </c>
      <c r="B475" s="2" t="s">
        <v>253</v>
      </c>
      <c r="C475" s="3">
        <v>0</v>
      </c>
      <c r="D475" s="3">
        <v>3000</v>
      </c>
      <c r="E475" s="3">
        <v>3000</v>
      </c>
      <c r="F475" s="3"/>
      <c r="G475" s="3">
        <v>3000</v>
      </c>
      <c r="H475" s="3">
        <f t="shared" si="33"/>
        <v>3272.727272727273</v>
      </c>
      <c r="I475" s="3">
        <v>3000</v>
      </c>
      <c r="J475" s="5">
        <v>0</v>
      </c>
      <c r="L475" s="318" t="s">
        <v>4183</v>
      </c>
    </row>
    <row r="476" spans="1:12" x14ac:dyDescent="0.25">
      <c r="A476" s="2" t="s">
        <v>254</v>
      </c>
      <c r="B476" s="2" t="s">
        <v>255</v>
      </c>
      <c r="C476" s="3">
        <v>2500</v>
      </c>
      <c r="D476" s="3">
        <v>2500</v>
      </c>
      <c r="E476" s="3">
        <v>2500</v>
      </c>
      <c r="F476" s="3"/>
      <c r="G476" s="3">
        <v>2500</v>
      </c>
      <c r="H476" s="3">
        <f t="shared" si="33"/>
        <v>2727.2727272727275</v>
      </c>
      <c r="I476" s="3">
        <v>2500</v>
      </c>
      <c r="J476" s="5">
        <v>0</v>
      </c>
      <c r="L476" s="318" t="s">
        <v>4183</v>
      </c>
    </row>
    <row r="477" spans="1:12" ht="15" customHeight="1" x14ac:dyDescent="0.25">
      <c r="A477" s="2" t="s">
        <v>256</v>
      </c>
      <c r="B477" s="2" t="s">
        <v>257</v>
      </c>
      <c r="C477" s="3">
        <v>1000</v>
      </c>
      <c r="D477" s="3">
        <v>2000</v>
      </c>
      <c r="E477" s="3">
        <v>3000</v>
      </c>
      <c r="F477" s="3"/>
      <c r="G477" s="3">
        <v>3000</v>
      </c>
      <c r="H477" s="3">
        <f t="shared" si="33"/>
        <v>3272.727272727273</v>
      </c>
      <c r="I477" s="3">
        <v>2000</v>
      </c>
      <c r="J477" s="5">
        <v>0</v>
      </c>
      <c r="L477" s="318" t="s">
        <v>4183</v>
      </c>
    </row>
    <row r="478" spans="1:12" ht="15" customHeight="1" x14ac:dyDescent="0.25">
      <c r="A478" s="2" t="s">
        <v>258</v>
      </c>
      <c r="B478" s="2" t="s">
        <v>259</v>
      </c>
      <c r="C478" s="3">
        <v>5000</v>
      </c>
      <c r="D478" s="3">
        <v>6329</v>
      </c>
      <c r="E478" s="3">
        <v>6329</v>
      </c>
      <c r="F478" s="3"/>
      <c r="G478" s="3">
        <v>6329</v>
      </c>
      <c r="H478" s="3">
        <f t="shared" si="33"/>
        <v>6904.363636363636</v>
      </c>
      <c r="I478" s="3">
        <v>6329</v>
      </c>
      <c r="J478" s="5">
        <v>6329</v>
      </c>
    </row>
    <row r="479" spans="1:12" ht="15" customHeight="1" x14ac:dyDescent="0.25">
      <c r="A479" s="2" t="s">
        <v>260</v>
      </c>
      <c r="B479" s="2" t="s">
        <v>261</v>
      </c>
      <c r="C479" s="3">
        <v>0</v>
      </c>
      <c r="D479" s="3">
        <v>5000</v>
      </c>
      <c r="E479" s="3">
        <v>5000</v>
      </c>
      <c r="F479" s="3"/>
      <c r="G479" s="3">
        <v>5000</v>
      </c>
      <c r="H479" s="3">
        <f t="shared" si="33"/>
        <v>5454.545454545455</v>
      </c>
      <c r="I479" s="3">
        <v>5000</v>
      </c>
      <c r="J479" s="5">
        <v>7520</v>
      </c>
    </row>
    <row r="480" spans="1:12" x14ac:dyDescent="0.25">
      <c r="A480" s="2" t="s">
        <v>262</v>
      </c>
      <c r="B480" s="2" t="s">
        <v>263</v>
      </c>
      <c r="C480" s="3">
        <v>0</v>
      </c>
      <c r="D480" s="3">
        <v>3140</v>
      </c>
      <c r="E480" s="3">
        <v>3140</v>
      </c>
      <c r="F480" s="3"/>
      <c r="G480" s="3">
        <v>3140</v>
      </c>
      <c r="H480" s="3">
        <f t="shared" si="33"/>
        <v>3425.454545454545</v>
      </c>
      <c r="I480" s="3">
        <v>3140</v>
      </c>
      <c r="J480" s="5">
        <v>0</v>
      </c>
      <c r="L480" s="318" t="s">
        <v>4183</v>
      </c>
    </row>
    <row r="481" spans="1:12" x14ac:dyDescent="0.25">
      <c r="A481" s="2" t="s">
        <v>264</v>
      </c>
      <c r="B481" s="2" t="s">
        <v>265</v>
      </c>
      <c r="C481" s="3">
        <v>73564.679999999993</v>
      </c>
      <c r="D481" s="3">
        <v>25280.639999999999</v>
      </c>
      <c r="E481" s="3">
        <v>50561.279999999999</v>
      </c>
      <c r="F481" s="3"/>
      <c r="G481" s="3">
        <v>56881.440000000002</v>
      </c>
      <c r="H481" s="3">
        <f t="shared" si="33"/>
        <v>62052.479999999996</v>
      </c>
      <c r="I481" s="3">
        <v>76000</v>
      </c>
      <c r="J481" s="5">
        <f>I481*1.1</f>
        <v>83600</v>
      </c>
    </row>
    <row r="482" spans="1:12" ht="15" customHeight="1" x14ac:dyDescent="0.25">
      <c r="A482" s="2" t="s">
        <v>266</v>
      </c>
      <c r="B482" s="2" t="s">
        <v>267</v>
      </c>
      <c r="C482" s="3">
        <v>3500</v>
      </c>
      <c r="D482" s="3">
        <v>0</v>
      </c>
      <c r="E482" s="3">
        <v>0</v>
      </c>
      <c r="F482" s="3"/>
      <c r="G482" s="3">
        <v>0</v>
      </c>
      <c r="H482" s="3">
        <f t="shared" si="33"/>
        <v>0</v>
      </c>
      <c r="I482" s="3">
        <v>0</v>
      </c>
      <c r="J482" s="5">
        <v>5000</v>
      </c>
    </row>
    <row r="483" spans="1:12" ht="24" x14ac:dyDescent="0.25">
      <c r="A483" s="2" t="s">
        <v>268</v>
      </c>
      <c r="B483" s="2" t="s">
        <v>4184</v>
      </c>
      <c r="C483" s="3">
        <v>0</v>
      </c>
      <c r="D483" s="3">
        <v>0</v>
      </c>
      <c r="E483" s="3">
        <v>0</v>
      </c>
      <c r="F483" s="3"/>
      <c r="G483" s="3">
        <v>0</v>
      </c>
      <c r="H483" s="3">
        <f t="shared" si="33"/>
        <v>0</v>
      </c>
      <c r="I483" s="3">
        <v>0</v>
      </c>
      <c r="J483" s="5">
        <v>7500</v>
      </c>
    </row>
    <row r="484" spans="1:12" x14ac:dyDescent="0.25">
      <c r="A484" s="2" t="s">
        <v>270</v>
      </c>
      <c r="B484" s="2" t="s">
        <v>271</v>
      </c>
      <c r="C484" s="3">
        <v>0</v>
      </c>
      <c r="D484" s="3">
        <v>0</v>
      </c>
      <c r="E484" s="3">
        <v>0</v>
      </c>
      <c r="F484" s="3"/>
      <c r="G484" s="3">
        <v>0</v>
      </c>
      <c r="H484" s="3">
        <f t="shared" si="33"/>
        <v>0</v>
      </c>
      <c r="I484" s="3">
        <v>0</v>
      </c>
      <c r="J484" s="5">
        <v>0</v>
      </c>
    </row>
    <row r="485" spans="1:12" ht="15" customHeight="1" x14ac:dyDescent="0.25">
      <c r="A485" s="2" t="s">
        <v>272</v>
      </c>
      <c r="B485" s="2" t="s">
        <v>273</v>
      </c>
      <c r="C485" s="3">
        <v>0</v>
      </c>
      <c r="D485" s="3">
        <v>2500</v>
      </c>
      <c r="E485" s="3">
        <v>2500</v>
      </c>
      <c r="F485" s="3"/>
      <c r="G485" s="3">
        <v>2500</v>
      </c>
      <c r="H485" s="3">
        <f t="shared" si="33"/>
        <v>2727.2727272727275</v>
      </c>
      <c r="I485" s="3">
        <v>2500</v>
      </c>
      <c r="J485" s="5">
        <v>2500</v>
      </c>
      <c r="L485" s="318" t="s">
        <v>4183</v>
      </c>
    </row>
    <row r="486" spans="1:12" ht="15" customHeight="1" x14ac:dyDescent="0.25">
      <c r="A486" s="2" t="s">
        <v>274</v>
      </c>
      <c r="B486" s="2" t="s">
        <v>275</v>
      </c>
      <c r="C486" s="3">
        <v>0</v>
      </c>
      <c r="D486" s="3">
        <v>0</v>
      </c>
      <c r="E486" s="3">
        <v>0</v>
      </c>
      <c r="F486" s="3"/>
      <c r="G486" s="3">
        <v>0</v>
      </c>
      <c r="H486" s="3">
        <f t="shared" si="33"/>
        <v>0</v>
      </c>
      <c r="I486" s="3">
        <v>0</v>
      </c>
      <c r="J486" s="5">
        <v>0</v>
      </c>
    </row>
    <row r="487" spans="1:12" ht="15" customHeight="1" x14ac:dyDescent="0.25">
      <c r="A487" s="1" t="s">
        <v>276</v>
      </c>
      <c r="B487" s="1" t="s">
        <v>2</v>
      </c>
      <c r="C487" s="6">
        <v>642163.05000000005</v>
      </c>
      <c r="D487" s="6">
        <v>577003</v>
      </c>
      <c r="E487" s="6">
        <f>SUM(E438:E486)</f>
        <v>642243.85</v>
      </c>
      <c r="F487" s="6"/>
      <c r="G487" s="6">
        <f>SUM(G438:G486)</f>
        <v>674579.39999999991</v>
      </c>
      <c r="H487" s="6">
        <f>SUM(H438:H486)</f>
        <v>735904.80000000028</v>
      </c>
      <c r="I487" s="6">
        <f>SUM(I438:I486)</f>
        <v>766610.78</v>
      </c>
      <c r="J487" s="6">
        <f>SUM(J438:J486)</f>
        <v>843161.22583974141</v>
      </c>
    </row>
    <row r="488" spans="1:12" x14ac:dyDescent="0.25">
      <c r="A488" s="1" t="s">
        <v>2</v>
      </c>
      <c r="B488" s="1" t="s">
        <v>2</v>
      </c>
      <c r="C488" s="1" t="s">
        <v>2</v>
      </c>
      <c r="D488" s="1" t="s">
        <v>2</v>
      </c>
      <c r="E488" s="1"/>
      <c r="F488" s="1"/>
      <c r="G488" s="1"/>
      <c r="H488" s="1"/>
      <c r="I488" s="1" t="s">
        <v>2</v>
      </c>
      <c r="J488" s="1" t="s">
        <v>2</v>
      </c>
    </row>
    <row r="489" spans="1:12" ht="15" customHeight="1" x14ac:dyDescent="0.25">
      <c r="A489" s="1" t="s">
        <v>277</v>
      </c>
      <c r="B489" s="1" t="s">
        <v>2</v>
      </c>
    </row>
    <row r="490" spans="1:12" ht="15" customHeight="1" x14ac:dyDescent="0.25">
      <c r="A490" s="2" t="s">
        <v>278</v>
      </c>
      <c r="B490" s="2" t="s">
        <v>279</v>
      </c>
      <c r="C490" s="3">
        <v>144163.46</v>
      </c>
      <c r="D490" s="3">
        <v>65860.820000000007</v>
      </c>
      <c r="E490" s="3">
        <v>113954.14</v>
      </c>
      <c r="F490" s="3"/>
      <c r="G490" s="3">
        <v>131989.13</v>
      </c>
      <c r="H490" s="3">
        <f>G490/11*12</f>
        <v>143988.14181818182</v>
      </c>
      <c r="I490" s="3">
        <v>151294.76999999999</v>
      </c>
      <c r="J490" s="302">
        <v>164271.95000000001</v>
      </c>
      <c r="K490" s="306"/>
    </row>
    <row r="491" spans="1:12" ht="15" customHeight="1" x14ac:dyDescent="0.25">
      <c r="A491" s="2" t="s">
        <v>280</v>
      </c>
      <c r="B491" s="2" t="s">
        <v>29</v>
      </c>
      <c r="C491" s="3">
        <v>28576.01</v>
      </c>
      <c r="D491" s="3">
        <v>13769.95</v>
      </c>
      <c r="E491" s="3">
        <v>23805.82</v>
      </c>
      <c r="F491" s="3"/>
      <c r="G491" s="3">
        <v>27561.919999999998</v>
      </c>
      <c r="H491" s="3">
        <f t="shared" ref="H491:H497" si="34">G491/11*12</f>
        <v>30067.549090909088</v>
      </c>
      <c r="I491" s="3">
        <v>30409.39</v>
      </c>
      <c r="J491" s="302">
        <v>31272.15</v>
      </c>
      <c r="K491" s="306"/>
    </row>
    <row r="492" spans="1:12" ht="15" customHeight="1" x14ac:dyDescent="0.25">
      <c r="A492" s="2" t="s">
        <v>281</v>
      </c>
      <c r="B492" s="2" t="s">
        <v>31</v>
      </c>
      <c r="C492" s="3">
        <v>251.3</v>
      </c>
      <c r="D492" s="3">
        <v>105.94</v>
      </c>
      <c r="E492" s="3">
        <v>185.01</v>
      </c>
      <c r="F492" s="3"/>
      <c r="G492" s="3">
        <v>219.48</v>
      </c>
      <c r="H492" s="3">
        <f t="shared" si="34"/>
        <v>239.43272727272728</v>
      </c>
      <c r="I492" s="3">
        <v>277.48</v>
      </c>
      <c r="J492" s="302">
        <v>251.41</v>
      </c>
      <c r="K492" s="306"/>
    </row>
    <row r="493" spans="1:12" ht="15" customHeight="1" x14ac:dyDescent="0.25">
      <c r="A493" s="2" t="s">
        <v>282</v>
      </c>
      <c r="B493" s="2" t="s">
        <v>33</v>
      </c>
      <c r="C493" s="3">
        <v>9896.74</v>
      </c>
      <c r="D493" s="3">
        <v>4590.6400000000003</v>
      </c>
      <c r="E493" s="3">
        <v>7939.6</v>
      </c>
      <c r="F493" s="3"/>
      <c r="G493" s="3">
        <v>9195.4599999999991</v>
      </c>
      <c r="H493" s="3">
        <f t="shared" si="34"/>
        <v>10031.410909090908</v>
      </c>
      <c r="I493" s="3">
        <v>9981.1200000000008</v>
      </c>
      <c r="J493" s="302">
        <v>10631.48</v>
      </c>
      <c r="K493" s="306"/>
    </row>
    <row r="494" spans="1:12" ht="15" customHeight="1" x14ac:dyDescent="0.25">
      <c r="A494" s="2" t="s">
        <v>283</v>
      </c>
      <c r="B494" s="2" t="s">
        <v>11</v>
      </c>
      <c r="C494" s="3">
        <v>11056.44</v>
      </c>
      <c r="D494" s="3">
        <v>5026.42</v>
      </c>
      <c r="E494" s="3">
        <v>8726.44</v>
      </c>
      <c r="F494" s="3"/>
      <c r="G494" s="3">
        <v>10092.43</v>
      </c>
      <c r="H494" s="3">
        <f t="shared" si="34"/>
        <v>11009.923636363637</v>
      </c>
      <c r="I494" s="3">
        <v>11047.37</v>
      </c>
      <c r="J494" s="302">
        <v>11987.04</v>
      </c>
      <c r="K494" s="306"/>
    </row>
    <row r="495" spans="1:12" ht="15" customHeight="1" x14ac:dyDescent="0.25">
      <c r="A495" s="2" t="s">
        <v>284</v>
      </c>
      <c r="B495" s="2" t="s">
        <v>13</v>
      </c>
      <c r="C495" s="3">
        <v>209.44</v>
      </c>
      <c r="D495" s="3">
        <v>141.83000000000001</v>
      </c>
      <c r="E495" s="3">
        <v>245.3</v>
      </c>
      <c r="F495" s="3"/>
      <c r="G495" s="3">
        <v>274.49</v>
      </c>
      <c r="H495" s="3">
        <f t="shared" si="34"/>
        <v>299.44363636363636</v>
      </c>
      <c r="I495" s="3">
        <v>222.4</v>
      </c>
      <c r="J495" s="302">
        <v>357.98</v>
      </c>
      <c r="K495" s="306"/>
    </row>
    <row r="496" spans="1:12" ht="15" customHeight="1" x14ac:dyDescent="0.25">
      <c r="A496" s="2" t="s">
        <v>285</v>
      </c>
      <c r="B496" s="2" t="s">
        <v>286</v>
      </c>
      <c r="C496" s="3">
        <v>500</v>
      </c>
      <c r="D496" s="3">
        <v>500</v>
      </c>
      <c r="E496" s="3">
        <v>1250</v>
      </c>
      <c r="F496" s="3"/>
      <c r="G496" s="3">
        <v>1250</v>
      </c>
      <c r="H496" s="3">
        <f t="shared" si="34"/>
        <v>1363.6363636363637</v>
      </c>
      <c r="I496" s="3">
        <v>900</v>
      </c>
      <c r="J496" s="302">
        <v>1400</v>
      </c>
      <c r="K496" s="306"/>
    </row>
    <row r="497" spans="1:11" ht="15" customHeight="1" x14ac:dyDescent="0.25">
      <c r="A497" s="2" t="s">
        <v>287</v>
      </c>
      <c r="B497" s="2" t="s">
        <v>17</v>
      </c>
      <c r="C497" s="3">
        <v>0</v>
      </c>
      <c r="D497" s="3">
        <v>502.73</v>
      </c>
      <c r="E497" s="3">
        <v>948.95</v>
      </c>
      <c r="F497" s="3"/>
      <c r="G497" s="3">
        <v>1731.16</v>
      </c>
      <c r="H497" s="3">
        <f t="shared" si="34"/>
        <v>1888.5381818181818</v>
      </c>
      <c r="I497" s="3">
        <v>0</v>
      </c>
      <c r="J497" s="302">
        <v>0</v>
      </c>
      <c r="K497" s="306"/>
    </row>
    <row r="498" spans="1:11" ht="15" customHeight="1" x14ac:dyDescent="0.25">
      <c r="A498" s="1" t="s">
        <v>288</v>
      </c>
      <c r="B498" s="1" t="s">
        <v>2</v>
      </c>
      <c r="C498" s="4">
        <v>194653.39</v>
      </c>
      <c r="D498" s="4">
        <v>90498.33</v>
      </c>
      <c r="E498" s="6">
        <f>SUM(E490:E497)</f>
        <v>157055.26</v>
      </c>
      <c r="F498" s="6"/>
      <c r="G498" s="6">
        <f>SUM(G490:G497)</f>
        <v>182314.06999999998</v>
      </c>
      <c r="H498" s="6">
        <f>SUM(H490:H497)</f>
        <v>198888.07636363638</v>
      </c>
      <c r="I498" s="6">
        <f>SUM(I490:I497)</f>
        <v>204132.52999999997</v>
      </c>
      <c r="J498" s="304">
        <f>SUM(J490:J497)</f>
        <v>220172.01000000004</v>
      </c>
      <c r="K498" s="306"/>
    </row>
    <row r="499" spans="1:11" x14ac:dyDescent="0.25">
      <c r="A499" s="1" t="s">
        <v>2</v>
      </c>
      <c r="B499" s="1" t="s">
        <v>2</v>
      </c>
      <c r="C499" s="1" t="s">
        <v>2</v>
      </c>
      <c r="D499" s="1" t="s">
        <v>2</v>
      </c>
      <c r="E499" s="1"/>
      <c r="F499" s="1"/>
      <c r="G499" s="1"/>
      <c r="H499" s="1"/>
      <c r="I499" s="1" t="s">
        <v>2</v>
      </c>
      <c r="J499" s="305" t="s">
        <v>2</v>
      </c>
      <c r="K499" s="306"/>
    </row>
    <row r="500" spans="1:11" ht="15" customHeight="1" x14ac:dyDescent="0.25">
      <c r="A500" s="1" t="s">
        <v>289</v>
      </c>
      <c r="B500" s="1" t="s">
        <v>2</v>
      </c>
      <c r="J500" s="92"/>
      <c r="K500" s="306"/>
    </row>
    <row r="501" spans="1:11" ht="15" customHeight="1" x14ac:dyDescent="0.25">
      <c r="A501" s="2" t="s">
        <v>290</v>
      </c>
      <c r="B501" s="2" t="s">
        <v>291</v>
      </c>
      <c r="C501" s="3">
        <v>2565.69</v>
      </c>
      <c r="D501" s="3">
        <v>1984.9</v>
      </c>
      <c r="E501" s="3">
        <v>2465.92</v>
      </c>
      <c r="F501" s="3"/>
      <c r="G501" s="3">
        <v>2778.69</v>
      </c>
      <c r="H501" s="3">
        <f>G501/11*12</f>
        <v>3031.298181818182</v>
      </c>
      <c r="I501" s="3">
        <v>5241.1499999999996</v>
      </c>
      <c r="J501" s="302">
        <v>1566.98</v>
      </c>
      <c r="K501" s="306"/>
    </row>
    <row r="502" spans="1:11" ht="15" customHeight="1" x14ac:dyDescent="0.25">
      <c r="A502" s="2" t="s">
        <v>292</v>
      </c>
      <c r="B502" s="2" t="s">
        <v>293</v>
      </c>
      <c r="C502" s="3">
        <v>618.15</v>
      </c>
      <c r="D502" s="3">
        <v>595.98</v>
      </c>
      <c r="E502" s="3">
        <v>707.44</v>
      </c>
      <c r="F502" s="3"/>
      <c r="G502" s="3">
        <v>805.15</v>
      </c>
      <c r="H502" s="3">
        <f t="shared" ref="H502:H512" si="35">G502/11*12</f>
        <v>878.34545454545446</v>
      </c>
      <c r="I502" s="3">
        <v>1613.21</v>
      </c>
      <c r="J502" s="302">
        <v>504.56</v>
      </c>
      <c r="K502" s="306"/>
    </row>
    <row r="503" spans="1:11" ht="15" customHeight="1" x14ac:dyDescent="0.25">
      <c r="A503" s="2" t="s">
        <v>294</v>
      </c>
      <c r="B503" s="2" t="s">
        <v>295</v>
      </c>
      <c r="C503" s="3">
        <v>3.77</v>
      </c>
      <c r="D503" s="3">
        <v>4.29</v>
      </c>
      <c r="E503" s="3">
        <v>5.25</v>
      </c>
      <c r="F503" s="3"/>
      <c r="G503" s="3">
        <v>5.95</v>
      </c>
      <c r="H503" s="3">
        <f t="shared" si="35"/>
        <v>6.4909090909090903</v>
      </c>
      <c r="I503" s="3">
        <v>7.7</v>
      </c>
      <c r="J503" s="302">
        <v>3.42</v>
      </c>
      <c r="K503" s="306"/>
    </row>
    <row r="504" spans="1:11" ht="15" customHeight="1" x14ac:dyDescent="0.25">
      <c r="A504" s="2" t="s">
        <v>296</v>
      </c>
      <c r="B504" s="2" t="s">
        <v>297</v>
      </c>
      <c r="C504" s="3">
        <v>57.91</v>
      </c>
      <c r="D504" s="3">
        <v>34.770000000000003</v>
      </c>
      <c r="E504" s="3">
        <v>42.18</v>
      </c>
      <c r="F504" s="3"/>
      <c r="G504" s="3">
        <v>47.88</v>
      </c>
      <c r="H504" s="3">
        <f t="shared" si="35"/>
        <v>52.232727272727274</v>
      </c>
      <c r="I504" s="3">
        <v>138.08000000000001</v>
      </c>
      <c r="J504" s="302">
        <v>30.5</v>
      </c>
      <c r="K504" s="306"/>
    </row>
    <row r="505" spans="1:11" ht="15" customHeight="1" x14ac:dyDescent="0.25">
      <c r="A505" s="2" t="s">
        <v>298</v>
      </c>
      <c r="B505" s="2" t="s">
        <v>299</v>
      </c>
      <c r="C505" s="3">
        <v>355.5</v>
      </c>
      <c r="D505" s="3">
        <v>228.73</v>
      </c>
      <c r="E505" s="3">
        <v>280.41000000000003</v>
      </c>
      <c r="F505" s="3"/>
      <c r="G505" s="3">
        <v>316.7</v>
      </c>
      <c r="H505" s="3">
        <f t="shared" si="35"/>
        <v>345.4909090909091</v>
      </c>
      <c r="I505" s="3">
        <v>630.82000000000005</v>
      </c>
      <c r="J505" s="302">
        <v>162.81</v>
      </c>
    </row>
    <row r="506" spans="1:11" ht="15" customHeight="1" x14ac:dyDescent="0.25">
      <c r="A506" s="2" t="s">
        <v>300</v>
      </c>
      <c r="B506" s="2" t="s">
        <v>301</v>
      </c>
      <c r="C506" s="3">
        <v>193.72</v>
      </c>
      <c r="D506" s="3">
        <v>149.03</v>
      </c>
      <c r="E506" s="3">
        <v>185.28</v>
      </c>
      <c r="F506" s="3"/>
      <c r="G506" s="3">
        <v>208.2</v>
      </c>
      <c r="H506" s="3">
        <f t="shared" si="35"/>
        <v>227.12727272727273</v>
      </c>
      <c r="I506" s="3">
        <v>400.95</v>
      </c>
      <c r="J506" s="302">
        <v>119.87</v>
      </c>
    </row>
    <row r="507" spans="1:11" ht="15" customHeight="1" x14ac:dyDescent="0.25">
      <c r="A507" s="2" t="s">
        <v>302</v>
      </c>
      <c r="B507" s="2" t="s">
        <v>303</v>
      </c>
      <c r="C507" s="3">
        <v>3628.9</v>
      </c>
      <c r="D507" s="3">
        <v>3092.16</v>
      </c>
      <c r="E507" s="3">
        <v>3664.2</v>
      </c>
      <c r="F507" s="3"/>
      <c r="G507" s="3">
        <v>4061.28</v>
      </c>
      <c r="H507" s="3">
        <f t="shared" si="35"/>
        <v>4430.4872727272732</v>
      </c>
      <c r="I507" s="3">
        <v>6200</v>
      </c>
      <c r="J507" s="302">
        <f>H507*1.2956</f>
        <v>5740.1393105454554</v>
      </c>
    </row>
    <row r="508" spans="1:11" ht="15" customHeight="1" x14ac:dyDescent="0.25">
      <c r="A508" s="2" t="s">
        <v>304</v>
      </c>
      <c r="B508" s="2" t="s">
        <v>305</v>
      </c>
      <c r="C508" s="3">
        <v>35381.199999999997</v>
      </c>
      <c r="D508" s="3">
        <v>10940.33</v>
      </c>
      <c r="E508" s="3">
        <v>23003.73</v>
      </c>
      <c r="F508" s="3"/>
      <c r="G508" s="3">
        <v>23003.73</v>
      </c>
      <c r="H508" s="3">
        <f t="shared" si="35"/>
        <v>25094.97818181818</v>
      </c>
      <c r="I508" s="3">
        <v>36000</v>
      </c>
      <c r="J508" s="302">
        <f>H508*1.1482</f>
        <v>28814.053948363638</v>
      </c>
    </row>
    <row r="509" spans="1:11" ht="15" customHeight="1" x14ac:dyDescent="0.25">
      <c r="A509" s="2" t="s">
        <v>306</v>
      </c>
      <c r="B509" s="2" t="s">
        <v>307</v>
      </c>
      <c r="C509" s="3">
        <v>9577.26</v>
      </c>
      <c r="D509" s="3">
        <v>509.02</v>
      </c>
      <c r="E509" s="3">
        <v>3795.64</v>
      </c>
      <c r="F509" s="3"/>
      <c r="G509" s="3">
        <v>3795.64</v>
      </c>
      <c r="H509" s="3">
        <f t="shared" si="35"/>
        <v>4140.6981818181821</v>
      </c>
      <c r="I509" s="3">
        <v>9000</v>
      </c>
      <c r="J509" s="302">
        <v>10000</v>
      </c>
    </row>
    <row r="510" spans="1:11" ht="24" x14ac:dyDescent="0.25">
      <c r="A510" s="2" t="s">
        <v>308</v>
      </c>
      <c r="B510" s="2" t="s">
        <v>309</v>
      </c>
      <c r="C510" s="3">
        <v>0</v>
      </c>
      <c r="D510" s="3">
        <v>0</v>
      </c>
      <c r="E510" s="3">
        <v>0</v>
      </c>
      <c r="F510" s="3"/>
      <c r="G510" s="3">
        <v>0</v>
      </c>
      <c r="H510" s="3">
        <f t="shared" si="35"/>
        <v>0</v>
      </c>
      <c r="I510" s="3">
        <v>0</v>
      </c>
      <c r="J510" s="302">
        <v>0</v>
      </c>
    </row>
    <row r="511" spans="1:11" x14ac:dyDescent="0.25">
      <c r="A511" s="2" t="s">
        <v>310</v>
      </c>
      <c r="B511" s="2" t="s">
        <v>311</v>
      </c>
      <c r="C511" s="3">
        <v>14708.23</v>
      </c>
      <c r="D511" s="3">
        <v>5199.3500000000004</v>
      </c>
      <c r="E511" s="3">
        <v>10343.31</v>
      </c>
      <c r="F511" s="3"/>
      <c r="G511" s="3">
        <v>12910.81</v>
      </c>
      <c r="H511" s="3">
        <f t="shared" si="35"/>
        <v>14084.52</v>
      </c>
      <c r="I511" s="3">
        <v>13800</v>
      </c>
      <c r="J511" s="302">
        <v>15000</v>
      </c>
    </row>
    <row r="512" spans="1:11" x14ac:dyDescent="0.25">
      <c r="A512" s="2" t="s">
        <v>312</v>
      </c>
      <c r="B512" s="2" t="s">
        <v>313</v>
      </c>
      <c r="C512" s="3">
        <v>41530.550000000003</v>
      </c>
      <c r="D512" s="3">
        <v>15920.13</v>
      </c>
      <c r="E512" s="3">
        <v>26759.16</v>
      </c>
      <c r="F512" s="3"/>
      <c r="G512" s="3">
        <v>34004</v>
      </c>
      <c r="H512" s="3">
        <f t="shared" si="35"/>
        <v>37095.272727272728</v>
      </c>
      <c r="I512" s="3">
        <v>20000</v>
      </c>
      <c r="J512" s="302">
        <v>45000</v>
      </c>
    </row>
    <row r="513" spans="1:12" ht="15" customHeight="1" x14ac:dyDescent="0.25">
      <c r="A513" s="1" t="s">
        <v>314</v>
      </c>
      <c r="B513" s="1" t="s">
        <v>2</v>
      </c>
      <c r="C513" s="4">
        <v>108620.88</v>
      </c>
      <c r="D513" s="4">
        <v>38658.69</v>
      </c>
      <c r="E513" s="6">
        <f>SUM(E501:E512)</f>
        <v>71252.52</v>
      </c>
      <c r="F513" s="6"/>
      <c r="G513" s="6">
        <f>SUM(G501:G512)</f>
        <v>81938.03</v>
      </c>
      <c r="H513" s="6">
        <f>SUM(H501:H512)</f>
        <v>89386.941818181833</v>
      </c>
      <c r="I513" s="6">
        <f>SUM(I501:I512)</f>
        <v>93031.91</v>
      </c>
      <c r="J513" s="304">
        <f>SUM(J501:J512)</f>
        <v>106942.33325890909</v>
      </c>
    </row>
    <row r="514" spans="1:12" x14ac:dyDescent="0.25">
      <c r="A514" s="1" t="s">
        <v>2</v>
      </c>
      <c r="B514" s="1" t="s">
        <v>2</v>
      </c>
      <c r="C514" s="1" t="s">
        <v>2</v>
      </c>
      <c r="D514" s="1" t="s">
        <v>2</v>
      </c>
      <c r="E514" s="1"/>
      <c r="F514" s="1"/>
      <c r="G514" s="1"/>
      <c r="H514" s="1"/>
      <c r="I514" s="1" t="s">
        <v>2</v>
      </c>
      <c r="J514" s="305" t="s">
        <v>2</v>
      </c>
    </row>
    <row r="515" spans="1:12" ht="15" customHeight="1" x14ac:dyDescent="0.25">
      <c r="A515" s="1" t="s">
        <v>315</v>
      </c>
      <c r="B515" s="1" t="s">
        <v>2</v>
      </c>
      <c r="J515" s="92"/>
    </row>
    <row r="516" spans="1:12" ht="15" customHeight="1" x14ac:dyDescent="0.25">
      <c r="A516" s="2" t="s">
        <v>316</v>
      </c>
      <c r="B516" s="2" t="s">
        <v>317</v>
      </c>
      <c r="C516" s="3">
        <v>127789.15</v>
      </c>
      <c r="D516" s="3">
        <v>81425.149999999994</v>
      </c>
      <c r="E516" s="3">
        <v>156939.03</v>
      </c>
      <c r="F516" s="3"/>
      <c r="G516" s="3">
        <v>177328.62</v>
      </c>
      <c r="H516" s="3">
        <f>G516/11*12</f>
        <v>193449.40363636363</v>
      </c>
      <c r="I516" s="3">
        <v>111067.59</v>
      </c>
      <c r="J516" s="302">
        <v>118256.4</v>
      </c>
    </row>
    <row r="517" spans="1:12" ht="15" customHeight="1" x14ac:dyDescent="0.25">
      <c r="A517" s="2" t="s">
        <v>318</v>
      </c>
      <c r="B517" s="2" t="s">
        <v>319</v>
      </c>
      <c r="C517" s="3">
        <v>229065.14</v>
      </c>
      <c r="D517" s="3">
        <v>114070.76</v>
      </c>
      <c r="E517" s="3">
        <v>213235.33</v>
      </c>
      <c r="F517" s="3"/>
      <c r="G517" s="3">
        <v>250339.24</v>
      </c>
      <c r="H517" s="3">
        <f t="shared" ref="H517:H568" si="36">G517/11*12</f>
        <v>273097.35272727272</v>
      </c>
      <c r="I517" s="3">
        <v>281501.12</v>
      </c>
      <c r="J517" s="302">
        <v>315810.07</v>
      </c>
    </row>
    <row r="518" spans="1:12" ht="15" customHeight="1" x14ac:dyDescent="0.25">
      <c r="A518" s="2" t="s">
        <v>320</v>
      </c>
      <c r="B518" s="2" t="s">
        <v>321</v>
      </c>
      <c r="C518" s="3">
        <v>1974062.23</v>
      </c>
      <c r="D518" s="3">
        <v>939916.42</v>
      </c>
      <c r="E518" s="3">
        <v>1619266.22</v>
      </c>
      <c r="F518" s="3"/>
      <c r="G518" s="3">
        <v>1868168.23</v>
      </c>
      <c r="H518" s="3">
        <f t="shared" si="36"/>
        <v>2038001.7054545456</v>
      </c>
      <c r="I518" s="3">
        <v>2144084.14</v>
      </c>
      <c r="J518" s="302">
        <f>2165565.69+185000</f>
        <v>2350565.69</v>
      </c>
      <c r="K518" s="306" t="s">
        <v>3408</v>
      </c>
    </row>
    <row r="519" spans="1:12" x14ac:dyDescent="0.25">
      <c r="A519" s="2" t="s">
        <v>322</v>
      </c>
      <c r="B519" s="2" t="s">
        <v>323</v>
      </c>
      <c r="C519" s="3">
        <v>21219.14</v>
      </c>
      <c r="D519" s="3">
        <v>18166.830000000002</v>
      </c>
      <c r="E519" s="3">
        <v>25544.07</v>
      </c>
      <c r="F519" s="3"/>
      <c r="G519" s="3">
        <v>38668.82</v>
      </c>
      <c r="H519" s="3">
        <f t="shared" si="36"/>
        <v>42184.167272727274</v>
      </c>
      <c r="I519" s="3">
        <v>32898.160000000003</v>
      </c>
      <c r="J519" s="302">
        <v>25272.73</v>
      </c>
      <c r="L519" s="41"/>
    </row>
    <row r="520" spans="1:12" ht="15" customHeight="1" x14ac:dyDescent="0.25">
      <c r="A520" s="2" t="s">
        <v>324</v>
      </c>
      <c r="B520" s="2" t="s">
        <v>325</v>
      </c>
      <c r="C520" s="3">
        <v>808.85</v>
      </c>
      <c r="D520" s="3">
        <v>0</v>
      </c>
      <c r="E520" s="3">
        <v>0</v>
      </c>
      <c r="F520" s="3"/>
      <c r="G520" s="3">
        <v>0</v>
      </c>
      <c r="H520" s="3">
        <f t="shared" si="36"/>
        <v>0</v>
      </c>
      <c r="I520" s="3">
        <v>2512.7600000000002</v>
      </c>
      <c r="J520" s="302">
        <v>1679.31</v>
      </c>
    </row>
    <row r="521" spans="1:12" x14ac:dyDescent="0.25">
      <c r="A521" s="2" t="s">
        <v>326</v>
      </c>
      <c r="B521" s="2" t="s">
        <v>327</v>
      </c>
      <c r="C521" s="3">
        <v>7560.63</v>
      </c>
      <c r="D521" s="3">
        <v>1390.66</v>
      </c>
      <c r="E521" s="3">
        <v>2495.62</v>
      </c>
      <c r="F521" s="3"/>
      <c r="G521" s="3">
        <v>2622.75</v>
      </c>
      <c r="H521" s="3">
        <f t="shared" si="36"/>
        <v>2861.181818181818</v>
      </c>
      <c r="I521" s="3">
        <v>11419.54</v>
      </c>
      <c r="J521" s="302">
        <v>8098.56</v>
      </c>
    </row>
    <row r="522" spans="1:12" ht="15" customHeight="1" x14ac:dyDescent="0.25">
      <c r="A522" s="2" t="s">
        <v>328</v>
      </c>
      <c r="B522" s="2" t="s">
        <v>329</v>
      </c>
      <c r="C522" s="3">
        <v>474651.54</v>
      </c>
      <c r="D522" s="3">
        <v>235057.47</v>
      </c>
      <c r="E522" s="3">
        <v>404801.65</v>
      </c>
      <c r="F522" s="3"/>
      <c r="G522" s="3">
        <v>469628.65</v>
      </c>
      <c r="H522" s="3">
        <f t="shared" si="36"/>
        <v>512322.16363636369</v>
      </c>
      <c r="I522" s="3">
        <v>552623.68000000005</v>
      </c>
      <c r="J522" s="302">
        <v>588351.18999999994</v>
      </c>
      <c r="K522" s="306"/>
    </row>
    <row r="523" spans="1:12" ht="15" customHeight="1" x14ac:dyDescent="0.25">
      <c r="A523" s="2" t="s">
        <v>330</v>
      </c>
      <c r="B523" s="2" t="s">
        <v>331</v>
      </c>
      <c r="C523" s="3">
        <v>60263.56</v>
      </c>
      <c r="D523" s="3">
        <v>22463.53</v>
      </c>
      <c r="E523" s="3">
        <v>37060.93</v>
      </c>
      <c r="F523" s="3"/>
      <c r="G523" s="3">
        <v>42712.55</v>
      </c>
      <c r="H523" s="3">
        <f t="shared" si="36"/>
        <v>46595.509090909094</v>
      </c>
      <c r="I523" s="3">
        <v>70145.88</v>
      </c>
      <c r="J523" s="302">
        <v>51844.22</v>
      </c>
      <c r="K523" s="306"/>
    </row>
    <row r="524" spans="1:12" ht="15" customHeight="1" x14ac:dyDescent="0.25">
      <c r="A524" s="2" t="s">
        <v>332</v>
      </c>
      <c r="B524" s="2" t="s">
        <v>333</v>
      </c>
      <c r="C524" s="3">
        <v>129496.22</v>
      </c>
      <c r="D524" s="3">
        <v>62439.31</v>
      </c>
      <c r="E524" s="3">
        <v>106707.72</v>
      </c>
      <c r="F524" s="3"/>
      <c r="G524" s="3">
        <v>122852.83</v>
      </c>
      <c r="H524" s="3">
        <f t="shared" si="36"/>
        <v>134021.2690909091</v>
      </c>
      <c r="I524" s="3">
        <v>142458</v>
      </c>
      <c r="J524" s="302">
        <v>142947.85</v>
      </c>
      <c r="K524" s="306"/>
    </row>
    <row r="525" spans="1:12" ht="15" customHeight="1" x14ac:dyDescent="0.25">
      <c r="A525" s="2" t="s">
        <v>334</v>
      </c>
      <c r="B525" s="2" t="s">
        <v>4031</v>
      </c>
      <c r="C525" s="3">
        <v>150558.96</v>
      </c>
      <c r="D525" s="3">
        <v>72074.25</v>
      </c>
      <c r="E525" s="3">
        <v>124250.81</v>
      </c>
      <c r="F525" s="3"/>
      <c r="G525" s="3">
        <v>143111.35999999999</v>
      </c>
      <c r="H525" s="3">
        <f t="shared" si="36"/>
        <v>156121.48363636361</v>
      </c>
      <c r="I525" s="3">
        <v>164022.44</v>
      </c>
      <c r="J525" s="302">
        <v>165665.78</v>
      </c>
      <c r="K525" s="306"/>
    </row>
    <row r="526" spans="1:12" x14ac:dyDescent="0.25">
      <c r="A526" s="2" t="s">
        <v>336</v>
      </c>
      <c r="B526" s="2" t="s">
        <v>337</v>
      </c>
      <c r="C526" s="3">
        <v>159.99</v>
      </c>
      <c r="D526" s="3">
        <v>47.42</v>
      </c>
      <c r="E526" s="3">
        <v>85.1</v>
      </c>
      <c r="F526" s="3"/>
      <c r="G526" s="3">
        <v>89.43</v>
      </c>
      <c r="H526" s="3">
        <f t="shared" si="36"/>
        <v>97.56</v>
      </c>
      <c r="I526" s="3">
        <v>389.41</v>
      </c>
      <c r="J526" s="302">
        <f t="shared" ref="J526" si="37">H526*1.055</f>
        <v>102.9258</v>
      </c>
      <c r="K526" s="306"/>
    </row>
    <row r="527" spans="1:12" ht="15" customHeight="1" x14ac:dyDescent="0.25">
      <c r="A527" s="2" t="s">
        <v>338</v>
      </c>
      <c r="B527" s="2" t="s">
        <v>339</v>
      </c>
      <c r="C527" s="3">
        <v>3125.15</v>
      </c>
      <c r="D527" s="3">
        <v>2241.9899999999998</v>
      </c>
      <c r="E527" s="3">
        <v>3880.99</v>
      </c>
      <c r="F527" s="3"/>
      <c r="G527" s="3">
        <v>4325.08</v>
      </c>
      <c r="H527" s="3">
        <f t="shared" si="36"/>
        <v>4718.2690909090907</v>
      </c>
      <c r="I527" s="3">
        <v>3383.91</v>
      </c>
      <c r="J527" s="302">
        <v>4745.99</v>
      </c>
      <c r="K527" s="306"/>
    </row>
    <row r="528" spans="1:12" ht="15" customHeight="1" x14ac:dyDescent="0.25">
      <c r="A528" s="2" t="s">
        <v>340</v>
      </c>
      <c r="B528" s="2" t="s">
        <v>341</v>
      </c>
      <c r="C528" s="3">
        <v>4938.83</v>
      </c>
      <c r="D528" s="3">
        <v>2460.13</v>
      </c>
      <c r="E528" s="3">
        <v>4437.18</v>
      </c>
      <c r="F528" s="3"/>
      <c r="G528" s="3">
        <v>5203.21</v>
      </c>
      <c r="H528" s="3">
        <f t="shared" si="36"/>
        <v>5676.2290909090907</v>
      </c>
      <c r="I528" s="3">
        <v>4637.6099999999997</v>
      </c>
      <c r="J528" s="302">
        <v>3331.07</v>
      </c>
      <c r="K528" s="306"/>
    </row>
    <row r="529" spans="1:15" ht="15" customHeight="1" x14ac:dyDescent="0.25">
      <c r="A529" s="2" t="s">
        <v>342</v>
      </c>
      <c r="B529" s="2" t="s">
        <v>343</v>
      </c>
      <c r="C529" s="3">
        <v>8390.52</v>
      </c>
      <c r="D529" s="3">
        <v>5394.76</v>
      </c>
      <c r="E529" s="3">
        <v>9859.24</v>
      </c>
      <c r="F529" s="3"/>
      <c r="G529" s="3">
        <v>11682.92</v>
      </c>
      <c r="H529" s="3">
        <f t="shared" si="36"/>
        <v>12745.003636363635</v>
      </c>
      <c r="I529" s="3">
        <v>8758.01</v>
      </c>
      <c r="J529" s="302">
        <v>8125.27</v>
      </c>
      <c r="K529" s="306"/>
      <c r="N529" s="41"/>
      <c r="O529" s="41"/>
    </row>
    <row r="530" spans="1:15" ht="15" customHeight="1" x14ac:dyDescent="0.25">
      <c r="A530" s="2" t="s">
        <v>344</v>
      </c>
      <c r="B530" s="2" t="s">
        <v>345</v>
      </c>
      <c r="C530" s="3">
        <v>11934.85</v>
      </c>
      <c r="D530" s="3">
        <v>7658.79</v>
      </c>
      <c r="E530" s="3">
        <v>14028.29</v>
      </c>
      <c r="F530" s="3"/>
      <c r="G530" s="3">
        <v>16579.72</v>
      </c>
      <c r="H530" s="3">
        <f t="shared" si="36"/>
        <v>18086.967272727274</v>
      </c>
      <c r="I530" s="3">
        <v>12079.2</v>
      </c>
      <c r="J530" s="302">
        <v>11727.99</v>
      </c>
      <c r="K530" s="306"/>
      <c r="O530" s="41"/>
    </row>
    <row r="531" spans="1:15" ht="15" customHeight="1" x14ac:dyDescent="0.25">
      <c r="A531" s="2" t="s">
        <v>346</v>
      </c>
      <c r="B531" s="2" t="s">
        <v>347</v>
      </c>
      <c r="C531" s="3">
        <v>75231.12</v>
      </c>
      <c r="D531" s="3">
        <v>34637.11</v>
      </c>
      <c r="E531" s="3">
        <v>61309.57</v>
      </c>
      <c r="F531" s="3"/>
      <c r="G531" s="3">
        <v>71173.22</v>
      </c>
      <c r="H531" s="3">
        <f t="shared" si="36"/>
        <v>77643.512727272726</v>
      </c>
      <c r="I531" s="3">
        <v>129787.1</v>
      </c>
      <c r="J531" s="302">
        <v>83802.55</v>
      </c>
      <c r="K531" s="306"/>
      <c r="O531" s="41"/>
    </row>
    <row r="532" spans="1:15" ht="15" customHeight="1" x14ac:dyDescent="0.25">
      <c r="A532" s="2" t="s">
        <v>348</v>
      </c>
      <c r="B532" s="2" t="s">
        <v>349</v>
      </c>
      <c r="C532" s="3">
        <v>1025.52</v>
      </c>
      <c r="D532" s="3">
        <v>413.25</v>
      </c>
      <c r="E532" s="3">
        <v>819.99</v>
      </c>
      <c r="F532" s="3"/>
      <c r="G532" s="3">
        <v>971.69</v>
      </c>
      <c r="H532" s="3">
        <f t="shared" si="36"/>
        <v>1060.0254545454545</v>
      </c>
      <c r="I532" s="3">
        <v>1387.4</v>
      </c>
      <c r="J532" s="302">
        <v>1257.05</v>
      </c>
      <c r="K532" s="306"/>
      <c r="L532" s="41"/>
      <c r="O532" s="41"/>
    </row>
    <row r="533" spans="1:15" ht="15" customHeight="1" x14ac:dyDescent="0.25">
      <c r="A533" s="2" t="s">
        <v>350</v>
      </c>
      <c r="B533" s="2" t="s">
        <v>351</v>
      </c>
      <c r="C533" s="3">
        <v>31314.36</v>
      </c>
      <c r="D533" s="3">
        <v>13157.74</v>
      </c>
      <c r="E533" s="3">
        <v>25059.37</v>
      </c>
      <c r="F533" s="3"/>
      <c r="G533" s="3">
        <v>29595.919999999998</v>
      </c>
      <c r="H533" s="3">
        <f t="shared" si="36"/>
        <v>32286.458181818183</v>
      </c>
      <c r="I533" s="3">
        <v>36353.86</v>
      </c>
      <c r="J533" s="302">
        <v>39978.519999999997</v>
      </c>
      <c r="K533" s="306"/>
      <c r="O533" s="41"/>
    </row>
    <row r="534" spans="1:15" ht="15" customHeight="1" x14ac:dyDescent="0.25">
      <c r="A534" s="2" t="s">
        <v>352</v>
      </c>
      <c r="B534" s="2" t="s">
        <v>4032</v>
      </c>
      <c r="C534" s="3">
        <v>17231.45</v>
      </c>
      <c r="D534" s="3">
        <v>8623.64</v>
      </c>
      <c r="E534" s="3">
        <v>16113.58</v>
      </c>
      <c r="F534" s="3"/>
      <c r="G534" s="3">
        <v>18916.48</v>
      </c>
      <c r="H534" s="3">
        <f t="shared" si="36"/>
        <v>20636.16</v>
      </c>
      <c r="I534" s="3">
        <v>21534.84</v>
      </c>
      <c r="J534" s="302">
        <v>24159.47</v>
      </c>
      <c r="K534" s="306"/>
      <c r="O534" s="41"/>
    </row>
    <row r="535" spans="1:15" ht="15" customHeight="1" x14ac:dyDescent="0.25">
      <c r="A535" s="2" t="s">
        <v>354</v>
      </c>
      <c r="B535" s="2" t="s">
        <v>355</v>
      </c>
      <c r="C535" s="3">
        <v>769.74</v>
      </c>
      <c r="D535" s="3">
        <v>645.03</v>
      </c>
      <c r="E535" s="3">
        <v>1187.45</v>
      </c>
      <c r="F535" s="3"/>
      <c r="G535" s="3">
        <v>1539.3</v>
      </c>
      <c r="H535" s="3">
        <f t="shared" si="36"/>
        <v>1679.2363636363636</v>
      </c>
      <c r="I535" s="3">
        <v>1992.79</v>
      </c>
      <c r="J535" s="302">
        <v>2002.07</v>
      </c>
      <c r="K535" s="306"/>
    </row>
    <row r="536" spans="1:15" ht="15" customHeight="1" x14ac:dyDescent="0.25">
      <c r="A536" s="2" t="s">
        <v>356</v>
      </c>
      <c r="B536" s="2" t="s">
        <v>357</v>
      </c>
      <c r="C536" s="3">
        <v>336.16</v>
      </c>
      <c r="D536" s="3">
        <v>244.1</v>
      </c>
      <c r="E536" s="3">
        <v>453.33</v>
      </c>
      <c r="F536" s="3"/>
      <c r="G536" s="3">
        <v>513.15</v>
      </c>
      <c r="H536" s="3">
        <f t="shared" si="36"/>
        <v>559.79999999999995</v>
      </c>
      <c r="I536" s="3">
        <v>413.81</v>
      </c>
      <c r="J536" s="302">
        <v>659.81</v>
      </c>
      <c r="K536" s="306"/>
    </row>
    <row r="537" spans="1:15" ht="15" customHeight="1" x14ac:dyDescent="0.25">
      <c r="A537" s="2" t="s">
        <v>358</v>
      </c>
      <c r="B537" s="2" t="s">
        <v>286</v>
      </c>
      <c r="C537" s="3">
        <v>11000</v>
      </c>
      <c r="D537" s="3">
        <v>11750</v>
      </c>
      <c r="E537" s="3">
        <v>22250</v>
      </c>
      <c r="F537" s="3"/>
      <c r="G537" s="3">
        <v>22250</v>
      </c>
      <c r="H537" s="3">
        <f t="shared" si="36"/>
        <v>24272.727272727272</v>
      </c>
      <c r="I537" s="3">
        <v>23500</v>
      </c>
      <c r="J537" s="302">
        <v>30500</v>
      </c>
      <c r="K537" s="306"/>
    </row>
    <row r="538" spans="1:15" ht="15" customHeight="1" x14ac:dyDescent="0.25">
      <c r="A538" s="2" t="s">
        <v>359</v>
      </c>
      <c r="B538" s="2" t="s">
        <v>37</v>
      </c>
      <c r="C538" s="3">
        <v>5933.35</v>
      </c>
      <c r="D538" s="3">
        <v>1011.01</v>
      </c>
      <c r="E538" s="3">
        <v>2072.86</v>
      </c>
      <c r="F538" s="3"/>
      <c r="G538" s="3">
        <v>3068.67</v>
      </c>
      <c r="H538" s="3">
        <f t="shared" si="36"/>
        <v>3347.6400000000003</v>
      </c>
      <c r="I538" s="3">
        <v>5600</v>
      </c>
      <c r="J538" s="302">
        <v>7400</v>
      </c>
      <c r="K538" s="306"/>
    </row>
    <row r="539" spans="1:15" ht="15" customHeight="1" x14ac:dyDescent="0.25">
      <c r="A539" s="2" t="s">
        <v>360</v>
      </c>
      <c r="B539" s="2" t="s">
        <v>361</v>
      </c>
      <c r="C539" s="3">
        <v>15088.97</v>
      </c>
      <c r="D539" s="3">
        <v>25112.44</v>
      </c>
      <c r="E539" s="3">
        <v>36786</v>
      </c>
      <c r="F539" s="3"/>
      <c r="G539" s="3">
        <v>50241.69</v>
      </c>
      <c r="H539" s="3">
        <f t="shared" si="36"/>
        <v>54809.116363636364</v>
      </c>
      <c r="I539" s="3">
        <v>82500</v>
      </c>
      <c r="J539" s="302">
        <v>112000</v>
      </c>
      <c r="K539" s="306" t="s">
        <v>4100</v>
      </c>
    </row>
    <row r="540" spans="1:15" ht="15" customHeight="1" x14ac:dyDescent="0.25">
      <c r="A540" s="2" t="s">
        <v>362</v>
      </c>
      <c r="B540" s="2" t="s">
        <v>363</v>
      </c>
      <c r="C540" s="3">
        <v>48074.78</v>
      </c>
      <c r="D540" s="3">
        <v>11714.04</v>
      </c>
      <c r="E540" s="3">
        <v>14142.7</v>
      </c>
      <c r="F540" s="3"/>
      <c r="G540" s="3">
        <v>22771.42</v>
      </c>
      <c r="H540" s="3">
        <f t="shared" si="36"/>
        <v>24841.549090909088</v>
      </c>
      <c r="I540" s="3">
        <v>30800</v>
      </c>
      <c r="J540" s="5">
        <f>102900+20000</f>
        <v>122900</v>
      </c>
      <c r="K540" s="243" t="s">
        <v>4061</v>
      </c>
    </row>
    <row r="541" spans="1:15" ht="15" customHeight="1" x14ac:dyDescent="0.25">
      <c r="A541" s="2" t="s">
        <v>364</v>
      </c>
      <c r="B541" s="2" t="s">
        <v>365</v>
      </c>
      <c r="C541" s="3">
        <v>4978.2</v>
      </c>
      <c r="D541" s="3">
        <v>0</v>
      </c>
      <c r="E541" s="3">
        <v>0</v>
      </c>
      <c r="F541" s="3"/>
      <c r="G541" s="3">
        <v>0</v>
      </c>
      <c r="H541" s="3">
        <f t="shared" si="36"/>
        <v>0</v>
      </c>
      <c r="I541" s="3">
        <v>5000</v>
      </c>
      <c r="J541" s="5">
        <v>5000</v>
      </c>
      <c r="K541" s="269"/>
    </row>
    <row r="542" spans="1:15" ht="15" customHeight="1" x14ac:dyDescent="0.25">
      <c r="A542" s="2" t="s">
        <v>366</v>
      </c>
      <c r="B542" s="2" t="s">
        <v>367</v>
      </c>
      <c r="C542" s="3">
        <v>2194.0100000000002</v>
      </c>
      <c r="D542" s="3">
        <v>550.29</v>
      </c>
      <c r="E542" s="3">
        <v>1344.12</v>
      </c>
      <c r="F542" s="3"/>
      <c r="G542" s="3">
        <v>1701.06</v>
      </c>
      <c r="H542" s="3">
        <f t="shared" si="36"/>
        <v>1855.701818181818</v>
      </c>
      <c r="I542" s="3">
        <v>1500</v>
      </c>
      <c r="J542" s="5">
        <v>2000</v>
      </c>
      <c r="K542" s="269"/>
    </row>
    <row r="543" spans="1:15" ht="15" customHeight="1" x14ac:dyDescent="0.25">
      <c r="A543" s="2" t="s">
        <v>368</v>
      </c>
      <c r="B543" s="2" t="s">
        <v>369</v>
      </c>
      <c r="C543" s="3">
        <v>5772.23</v>
      </c>
      <c r="D543" s="3">
        <v>214.26</v>
      </c>
      <c r="E543" s="3">
        <v>214.26</v>
      </c>
      <c r="F543" s="3"/>
      <c r="G543" s="3">
        <v>214.26</v>
      </c>
      <c r="H543" s="3">
        <f t="shared" si="36"/>
        <v>233.7381818181818</v>
      </c>
      <c r="I543" s="3">
        <v>10000</v>
      </c>
      <c r="J543" s="5">
        <v>10500</v>
      </c>
      <c r="K543" s="269"/>
    </row>
    <row r="544" spans="1:15" ht="15" customHeight="1" x14ac:dyDescent="0.25">
      <c r="A544" s="2" t="s">
        <v>370</v>
      </c>
      <c r="B544" s="2" t="s">
        <v>43</v>
      </c>
      <c r="C544" s="3">
        <v>216318.87</v>
      </c>
      <c r="D544" s="3">
        <v>175498.05</v>
      </c>
      <c r="E544" s="3">
        <v>176737.64</v>
      </c>
      <c r="F544" s="3"/>
      <c r="G544" s="3">
        <v>174207.76</v>
      </c>
      <c r="H544" s="3">
        <f t="shared" si="36"/>
        <v>190044.8290909091</v>
      </c>
      <c r="I544" s="3">
        <v>175466.06</v>
      </c>
      <c r="J544" s="5">
        <f>+Equipment!$C$9</f>
        <v>216318.87148648652</v>
      </c>
    </row>
    <row r="545" spans="1:11" x14ac:dyDescent="0.25">
      <c r="A545" s="2" t="s">
        <v>371</v>
      </c>
      <c r="B545" s="2" t="s">
        <v>372</v>
      </c>
      <c r="C545" s="3">
        <v>164220.85999999999</v>
      </c>
      <c r="D545" s="3">
        <v>201800.26</v>
      </c>
      <c r="E545" s="3">
        <v>203798.89</v>
      </c>
      <c r="F545" s="3"/>
      <c r="G545" s="3">
        <v>186982.98</v>
      </c>
      <c r="H545" s="3">
        <f t="shared" si="36"/>
        <v>203981.43272727274</v>
      </c>
      <c r="I545" s="3">
        <v>201790.92</v>
      </c>
      <c r="J545" s="5">
        <f>Equipment!$C$10</f>
        <v>179820.86000000002</v>
      </c>
      <c r="K545" s="2" t="s">
        <v>4066</v>
      </c>
    </row>
    <row r="546" spans="1:11" ht="15" customHeight="1" x14ac:dyDescent="0.25">
      <c r="A546" s="2" t="s">
        <v>373</v>
      </c>
      <c r="B546" s="2" t="s">
        <v>198</v>
      </c>
      <c r="C546" s="3">
        <v>97215.15</v>
      </c>
      <c r="D546" s="3">
        <v>80667.070000000007</v>
      </c>
      <c r="E546" s="3">
        <v>82421.47</v>
      </c>
      <c r="F546" s="3"/>
      <c r="G546" s="3">
        <v>75870.03</v>
      </c>
      <c r="H546" s="3">
        <f t="shared" si="36"/>
        <v>82767.305454545451</v>
      </c>
      <c r="I546" s="3">
        <v>80667.070000000007</v>
      </c>
      <c r="J546" s="5">
        <f>+'Computer '!D12</f>
        <v>97215.149395491782</v>
      </c>
      <c r="K546" s="2"/>
    </row>
    <row r="547" spans="1:11" ht="15" customHeight="1" x14ac:dyDescent="0.25">
      <c r="A547" s="2" t="s">
        <v>374</v>
      </c>
      <c r="B547" s="2" t="s">
        <v>95</v>
      </c>
      <c r="C547" s="3">
        <v>12277.65</v>
      </c>
      <c r="D547" s="3">
        <v>9077.02</v>
      </c>
      <c r="E547" s="3">
        <v>17886.62</v>
      </c>
      <c r="F547" s="3"/>
      <c r="G547" s="3">
        <v>19289.310000000001</v>
      </c>
      <c r="H547" s="3">
        <f t="shared" si="36"/>
        <v>21042.883636363636</v>
      </c>
      <c r="I547" s="3">
        <v>10000</v>
      </c>
      <c r="J547" s="5">
        <f>15000+175000</f>
        <v>190000</v>
      </c>
      <c r="K547" s="2" t="s">
        <v>4067</v>
      </c>
    </row>
    <row r="548" spans="1:11" ht="15" customHeight="1" x14ac:dyDescent="0.25">
      <c r="A548" s="2" t="s">
        <v>375</v>
      </c>
      <c r="B548" s="2" t="s">
        <v>376</v>
      </c>
      <c r="C548" s="3">
        <v>2167</v>
      </c>
      <c r="D548" s="3">
        <v>455</v>
      </c>
      <c r="E548" s="3">
        <v>7899.15</v>
      </c>
      <c r="F548" s="3"/>
      <c r="G548" s="3">
        <v>14566.85</v>
      </c>
      <c r="H548" s="3">
        <f t="shared" si="36"/>
        <v>15891.109090909091</v>
      </c>
      <c r="I548" s="3">
        <v>2100</v>
      </c>
      <c r="J548" s="5">
        <v>2200</v>
      </c>
      <c r="K548" s="247"/>
    </row>
    <row r="549" spans="1:11" x14ac:dyDescent="0.25">
      <c r="A549" s="2" t="s">
        <v>377</v>
      </c>
      <c r="B549" s="2" t="s">
        <v>378</v>
      </c>
      <c r="C549" s="3">
        <v>7676</v>
      </c>
      <c r="D549" s="3">
        <v>8167.27</v>
      </c>
      <c r="E549" s="3">
        <v>8167.27</v>
      </c>
      <c r="F549" s="3"/>
      <c r="G549" s="3">
        <v>8167.27</v>
      </c>
      <c r="H549" s="3">
        <f t="shared" si="36"/>
        <v>8909.749090909092</v>
      </c>
      <c r="I549" s="3">
        <v>7676</v>
      </c>
      <c r="J549" s="5">
        <v>8167.27</v>
      </c>
      <c r="K549" s="247"/>
    </row>
    <row r="550" spans="1:11" ht="15" customHeight="1" x14ac:dyDescent="0.25">
      <c r="A550" s="2" t="s">
        <v>379</v>
      </c>
      <c r="B550" s="2" t="s">
        <v>380</v>
      </c>
      <c r="C550" s="3">
        <v>36912.480000000003</v>
      </c>
      <c r="D550" s="3">
        <v>12984.51</v>
      </c>
      <c r="E550" s="3">
        <v>23992.69</v>
      </c>
      <c r="F550" s="3"/>
      <c r="G550" s="3">
        <v>28285.75</v>
      </c>
      <c r="H550" s="3">
        <f t="shared" si="36"/>
        <v>30857.181818181816</v>
      </c>
      <c r="I550" s="3">
        <v>38100</v>
      </c>
      <c r="J550" s="5">
        <f>Phone!$C$10</f>
        <v>40000</v>
      </c>
    </row>
    <row r="551" spans="1:11" ht="15" customHeight="1" x14ac:dyDescent="0.25">
      <c r="A551" s="2" t="s">
        <v>381</v>
      </c>
      <c r="B551" s="2" t="s">
        <v>59</v>
      </c>
      <c r="C551" s="3">
        <v>1371.5</v>
      </c>
      <c r="D551" s="3">
        <v>812.37</v>
      </c>
      <c r="E551" s="3">
        <v>1857.96</v>
      </c>
      <c r="F551" s="3"/>
      <c r="G551" s="3">
        <v>1990.91</v>
      </c>
      <c r="H551" s="3">
        <f t="shared" si="36"/>
        <v>2171.9018181818183</v>
      </c>
      <c r="I551" s="3">
        <v>1200</v>
      </c>
      <c r="J551" s="5">
        <v>1300</v>
      </c>
    </row>
    <row r="552" spans="1:11" ht="15" customHeight="1" x14ac:dyDescent="0.25">
      <c r="A552" s="2" t="s">
        <v>382</v>
      </c>
      <c r="B552" s="2" t="s">
        <v>17</v>
      </c>
      <c r="C552" s="3">
        <v>15712.72</v>
      </c>
      <c r="D552" s="3">
        <v>12833.19</v>
      </c>
      <c r="E552" s="3">
        <v>19960.310000000001</v>
      </c>
      <c r="F552" s="3"/>
      <c r="G552" s="3">
        <v>21172.23</v>
      </c>
      <c r="H552" s="3">
        <f t="shared" si="36"/>
        <v>23096.97818181818</v>
      </c>
      <c r="I552" s="3">
        <v>19500</v>
      </c>
      <c r="J552" s="5">
        <v>25500</v>
      </c>
    </row>
    <row r="553" spans="1:11" ht="15" customHeight="1" x14ac:dyDescent="0.25">
      <c r="A553" s="2" t="s">
        <v>383</v>
      </c>
      <c r="B553" s="2" t="s">
        <v>66</v>
      </c>
      <c r="C553" s="3">
        <v>14051.62</v>
      </c>
      <c r="D553" s="3">
        <v>12964.35</v>
      </c>
      <c r="E553" s="3">
        <v>16759.400000000001</v>
      </c>
      <c r="F553" s="3"/>
      <c r="G553" s="3">
        <v>19083.5</v>
      </c>
      <c r="H553" s="3">
        <f t="shared" si="36"/>
        <v>20818.363636363636</v>
      </c>
      <c r="I553" s="3">
        <v>31000</v>
      </c>
      <c r="J553" s="5">
        <f>14400+40000</f>
        <v>54400</v>
      </c>
      <c r="K553" s="243" t="s">
        <v>3421</v>
      </c>
    </row>
    <row r="554" spans="1:11" ht="15" customHeight="1" x14ac:dyDescent="0.25">
      <c r="A554" s="2" t="s">
        <v>384</v>
      </c>
      <c r="B554" s="2" t="s">
        <v>144</v>
      </c>
      <c r="C554" s="3">
        <v>120</v>
      </c>
      <c r="D554" s="3">
        <v>223.89</v>
      </c>
      <c r="E554" s="3">
        <v>418.89</v>
      </c>
      <c r="F554" s="3"/>
      <c r="G554" s="3">
        <v>418.89</v>
      </c>
      <c r="H554" s="3">
        <f t="shared" si="36"/>
        <v>456.97090909090906</v>
      </c>
      <c r="I554" s="3">
        <v>400</v>
      </c>
      <c r="J554" s="5">
        <v>400</v>
      </c>
    </row>
    <row r="555" spans="1:11" ht="15" customHeight="1" x14ac:dyDescent="0.25">
      <c r="A555" s="2" t="s">
        <v>385</v>
      </c>
      <c r="B555" s="2" t="s">
        <v>386</v>
      </c>
      <c r="C555" s="3">
        <v>7630.15</v>
      </c>
      <c r="D555" s="3">
        <v>3180.94</v>
      </c>
      <c r="E555" s="3">
        <v>5725.7</v>
      </c>
      <c r="F555" s="3"/>
      <c r="G555" s="3">
        <v>6998.08</v>
      </c>
      <c r="H555" s="3">
        <f t="shared" si="36"/>
        <v>7634.2690909090907</v>
      </c>
      <c r="I555" s="3">
        <v>7800</v>
      </c>
      <c r="J555" s="5">
        <v>7800</v>
      </c>
    </row>
    <row r="556" spans="1:11" ht="15" customHeight="1" x14ac:dyDescent="0.25">
      <c r="A556" s="2" t="s">
        <v>387</v>
      </c>
      <c r="B556" s="2" t="s">
        <v>388</v>
      </c>
      <c r="C556" s="3">
        <v>15812.88</v>
      </c>
      <c r="D556" s="3">
        <v>3610.1</v>
      </c>
      <c r="E556" s="3">
        <v>6121.74</v>
      </c>
      <c r="F556" s="3"/>
      <c r="G556" s="3">
        <v>8044.45</v>
      </c>
      <c r="H556" s="3">
        <f t="shared" si="36"/>
        <v>8775.7636363636357</v>
      </c>
      <c r="I556" s="3">
        <v>11200</v>
      </c>
      <c r="J556" s="5">
        <f>15000+11800</f>
        <v>26800</v>
      </c>
      <c r="K556" s="2"/>
    </row>
    <row r="557" spans="1:11" x14ac:dyDescent="0.25">
      <c r="A557" s="2" t="s">
        <v>389</v>
      </c>
      <c r="B557" s="2" t="s">
        <v>390</v>
      </c>
      <c r="C557" s="3">
        <v>12732.5</v>
      </c>
      <c r="D557" s="3">
        <v>2990</v>
      </c>
      <c r="E557" s="3">
        <v>5462.5</v>
      </c>
      <c r="F557" s="3"/>
      <c r="G557" s="3">
        <v>6037.5</v>
      </c>
      <c r="H557" s="3">
        <f t="shared" si="36"/>
        <v>6586.363636363636</v>
      </c>
      <c r="I557" s="3">
        <v>13000</v>
      </c>
      <c r="J557" s="5">
        <v>13000</v>
      </c>
    </row>
    <row r="558" spans="1:11" x14ac:dyDescent="0.25">
      <c r="A558" s="2" t="s">
        <v>391</v>
      </c>
      <c r="B558" s="2" t="s">
        <v>392</v>
      </c>
      <c r="C558" s="3">
        <v>0</v>
      </c>
      <c r="D558" s="3">
        <v>0</v>
      </c>
      <c r="E558" s="3">
        <v>0</v>
      </c>
      <c r="F558" s="3"/>
      <c r="G558" s="3">
        <v>0</v>
      </c>
      <c r="H558" s="3">
        <f t="shared" si="36"/>
        <v>0</v>
      </c>
      <c r="I558" s="3">
        <v>2000</v>
      </c>
      <c r="J558" s="5">
        <v>2000</v>
      </c>
    </row>
    <row r="559" spans="1:11" ht="15" customHeight="1" x14ac:dyDescent="0.25">
      <c r="A559" s="2" t="s">
        <v>393</v>
      </c>
      <c r="B559" s="2" t="s">
        <v>64</v>
      </c>
      <c r="C559" s="3">
        <v>6751.57</v>
      </c>
      <c r="D559" s="3">
        <v>2159.6999999999998</v>
      </c>
      <c r="E559" s="3">
        <v>3580.29</v>
      </c>
      <c r="F559" s="3"/>
      <c r="G559" s="3">
        <v>4121.1499999999996</v>
      </c>
      <c r="H559" s="3">
        <f t="shared" si="36"/>
        <v>4495.7999999999993</v>
      </c>
      <c r="I559" s="3">
        <v>10100</v>
      </c>
      <c r="J559" s="5">
        <v>10100</v>
      </c>
    </row>
    <row r="560" spans="1:11" ht="15" customHeight="1" x14ac:dyDescent="0.25">
      <c r="A560" s="2" t="s">
        <v>394</v>
      </c>
      <c r="B560" s="2" t="s">
        <v>395</v>
      </c>
      <c r="C560" s="3">
        <v>1075.98</v>
      </c>
      <c r="D560" s="3">
        <v>345.7</v>
      </c>
      <c r="E560" s="3">
        <v>345.7</v>
      </c>
      <c r="F560" s="3"/>
      <c r="G560" s="3">
        <v>440.98</v>
      </c>
      <c r="H560" s="3">
        <f t="shared" si="36"/>
        <v>481.06909090909096</v>
      </c>
      <c r="I560" s="3">
        <v>2500</v>
      </c>
      <c r="J560" s="5">
        <v>2500</v>
      </c>
    </row>
    <row r="561" spans="1:14" ht="15" customHeight="1" x14ac:dyDescent="0.25">
      <c r="A561" s="2" t="s">
        <v>396</v>
      </c>
      <c r="B561" s="2" t="s">
        <v>397</v>
      </c>
      <c r="C561" s="3">
        <v>0</v>
      </c>
      <c r="D561" s="3">
        <v>0</v>
      </c>
      <c r="E561" s="3">
        <v>0</v>
      </c>
      <c r="F561" s="3"/>
      <c r="G561" s="3">
        <v>0</v>
      </c>
      <c r="H561" s="3">
        <f t="shared" si="36"/>
        <v>0</v>
      </c>
      <c r="I561" s="3">
        <v>500</v>
      </c>
      <c r="J561" s="5">
        <v>500</v>
      </c>
    </row>
    <row r="562" spans="1:14" ht="15" customHeight="1" x14ac:dyDescent="0.25">
      <c r="A562" s="2" t="s">
        <v>398</v>
      </c>
      <c r="B562" s="2" t="s">
        <v>399</v>
      </c>
      <c r="C562" s="3">
        <v>204.95</v>
      </c>
      <c r="D562" s="3">
        <v>0</v>
      </c>
      <c r="E562" s="3">
        <v>0</v>
      </c>
      <c r="F562" s="3"/>
      <c r="G562" s="3">
        <v>0</v>
      </c>
      <c r="H562" s="3">
        <f t="shared" si="36"/>
        <v>0</v>
      </c>
      <c r="I562" s="3">
        <v>3500</v>
      </c>
      <c r="J562" s="5">
        <v>3500</v>
      </c>
    </row>
    <row r="563" spans="1:14" ht="15" customHeight="1" x14ac:dyDescent="0.25">
      <c r="A563" s="2" t="s">
        <v>400</v>
      </c>
      <c r="B563" s="2" t="s">
        <v>401</v>
      </c>
      <c r="C563" s="3">
        <v>0</v>
      </c>
      <c r="D563" s="3">
        <v>0</v>
      </c>
      <c r="E563" s="3">
        <v>0</v>
      </c>
      <c r="F563" s="3"/>
      <c r="G563" s="3">
        <v>0</v>
      </c>
      <c r="H563" s="3">
        <f t="shared" si="36"/>
        <v>0</v>
      </c>
      <c r="I563" s="3">
        <v>1000</v>
      </c>
      <c r="J563" s="5">
        <v>0</v>
      </c>
    </row>
    <row r="564" spans="1:14" ht="24" x14ac:dyDescent="0.25">
      <c r="A564" s="2" t="s">
        <v>402</v>
      </c>
      <c r="B564" s="2" t="s">
        <v>403</v>
      </c>
      <c r="C564" s="3">
        <v>0</v>
      </c>
      <c r="D564" s="3">
        <v>0</v>
      </c>
      <c r="E564" s="3">
        <v>0</v>
      </c>
      <c r="F564" s="3"/>
      <c r="G564" s="3">
        <v>0</v>
      </c>
      <c r="H564" s="3">
        <f t="shared" si="36"/>
        <v>0</v>
      </c>
      <c r="I564" s="3">
        <v>2000</v>
      </c>
      <c r="J564" s="5">
        <v>2000</v>
      </c>
    </row>
    <row r="565" spans="1:14" ht="24" x14ac:dyDescent="0.25">
      <c r="A565" s="2" t="s">
        <v>404</v>
      </c>
      <c r="B565" s="2" t="s">
        <v>405</v>
      </c>
      <c r="C565" s="3">
        <v>489.15</v>
      </c>
      <c r="D565" s="3">
        <v>0</v>
      </c>
      <c r="E565" s="3">
        <v>0</v>
      </c>
      <c r="F565" s="3"/>
      <c r="G565" s="3">
        <v>0</v>
      </c>
      <c r="H565" s="3">
        <f t="shared" si="36"/>
        <v>0</v>
      </c>
      <c r="I565" s="3">
        <v>0</v>
      </c>
      <c r="J565" s="5">
        <v>0</v>
      </c>
    </row>
    <row r="566" spans="1:14" ht="24" x14ac:dyDescent="0.25">
      <c r="A566" s="2" t="s">
        <v>406</v>
      </c>
      <c r="B566" s="2" t="s">
        <v>407</v>
      </c>
      <c r="C566" s="3">
        <v>3255.57</v>
      </c>
      <c r="D566" s="3">
        <v>0</v>
      </c>
      <c r="E566" s="3">
        <v>0</v>
      </c>
      <c r="F566" s="3"/>
      <c r="G566" s="3">
        <v>0</v>
      </c>
      <c r="H566" s="3">
        <f t="shared" si="36"/>
        <v>0</v>
      </c>
      <c r="I566" s="3">
        <v>0</v>
      </c>
      <c r="J566" s="5">
        <v>0</v>
      </c>
    </row>
    <row r="567" spans="1:14" ht="15" customHeight="1" x14ac:dyDescent="0.25">
      <c r="A567" s="2" t="s">
        <v>408</v>
      </c>
      <c r="B567" s="2" t="s">
        <v>409</v>
      </c>
      <c r="C567" s="3">
        <v>0</v>
      </c>
      <c r="D567" s="3">
        <v>0</v>
      </c>
      <c r="E567" s="3">
        <v>0</v>
      </c>
      <c r="F567" s="3"/>
      <c r="G567" s="3">
        <v>0</v>
      </c>
      <c r="H567" s="3">
        <f t="shared" si="36"/>
        <v>0</v>
      </c>
      <c r="I567" s="3">
        <v>1600</v>
      </c>
      <c r="J567" s="5">
        <v>1600</v>
      </c>
    </row>
    <row r="568" spans="1:14" ht="15" customHeight="1" x14ac:dyDescent="0.25">
      <c r="A568" s="2" t="s">
        <v>410</v>
      </c>
      <c r="B568" s="2" t="s">
        <v>411</v>
      </c>
      <c r="C568" s="3">
        <v>166824</v>
      </c>
      <c r="D568" s="3">
        <v>52807.5</v>
      </c>
      <c r="E568" s="3">
        <v>154216.5</v>
      </c>
      <c r="F568" s="3"/>
      <c r="G568" s="3">
        <v>154216.5</v>
      </c>
      <c r="H568" s="3">
        <f t="shared" si="36"/>
        <v>168236.18181818182</v>
      </c>
      <c r="I568" s="3">
        <v>175330</v>
      </c>
      <c r="J568" s="302">
        <v>297500</v>
      </c>
    </row>
    <row r="569" spans="1:14" ht="15" customHeight="1" x14ac:dyDescent="0.25">
      <c r="A569" s="2" t="s">
        <v>412</v>
      </c>
      <c r="B569" s="2" t="s">
        <v>413</v>
      </c>
      <c r="C569" s="3">
        <v>2400</v>
      </c>
      <c r="D569" s="3">
        <v>918</v>
      </c>
      <c r="E569" s="3">
        <v>1491.5</v>
      </c>
      <c r="F569" s="3"/>
      <c r="G569" s="3">
        <v>2091.5</v>
      </c>
      <c r="H569" s="3">
        <f>G569/11*12</f>
        <v>2281.6363636363635</v>
      </c>
      <c r="I569" s="3">
        <v>2700</v>
      </c>
      <c r="J569" s="5">
        <v>2700</v>
      </c>
    </row>
    <row r="570" spans="1:14" ht="15" customHeight="1" x14ac:dyDescent="0.25">
      <c r="A570" s="1" t="s">
        <v>414</v>
      </c>
      <c r="B570" s="1" t="s">
        <v>2</v>
      </c>
      <c r="C570" s="6">
        <v>4208195.25</v>
      </c>
      <c r="D570" s="6">
        <v>2254375.2999999998</v>
      </c>
      <c r="E570" s="6">
        <f>SUM(E516:E569)</f>
        <v>3641189.6300000031</v>
      </c>
      <c r="F570" s="6"/>
      <c r="G570" s="6">
        <f>SUM(G516:G569)</f>
        <v>4108255.9099999997</v>
      </c>
      <c r="H570" s="6">
        <f>SUM(H516:H569)</f>
        <v>4481733.7199999988</v>
      </c>
      <c r="I570" s="6">
        <f>SUM(I516:I569)</f>
        <v>4693481.3000000007</v>
      </c>
      <c r="J570" s="6">
        <f>SUM(J516:J569)</f>
        <v>5424006.6666819789</v>
      </c>
    </row>
    <row r="571" spans="1:14" ht="15" customHeight="1" x14ac:dyDescent="0.25">
      <c r="A571" s="1"/>
      <c r="B571" s="1"/>
      <c r="C571" s="6"/>
      <c r="D571" s="6"/>
      <c r="E571" s="6"/>
      <c r="F571" s="6"/>
      <c r="G571" s="6"/>
      <c r="H571" s="6"/>
      <c r="I571" s="6"/>
      <c r="J571" s="6"/>
    </row>
    <row r="572" spans="1:14" ht="15" customHeight="1" x14ac:dyDescent="0.25">
      <c r="A572" s="1" t="s">
        <v>2549</v>
      </c>
      <c r="B572" s="1"/>
      <c r="C572" s="6">
        <f t="shared" ref="C572:I572" si="38">C570+C513+C498</f>
        <v>4511469.5199999996</v>
      </c>
      <c r="D572" s="6">
        <f t="shared" si="38"/>
        <v>2383532.3199999998</v>
      </c>
      <c r="E572" s="6">
        <f>E498+E513+E570</f>
        <v>3869497.4100000029</v>
      </c>
      <c r="F572" s="6"/>
      <c r="G572" s="6">
        <f t="shared" ref="G572" si="39">G498+G513+G570</f>
        <v>4372508.01</v>
      </c>
      <c r="H572" s="6">
        <f>H498+H513+H570</f>
        <v>4770008.7381818173</v>
      </c>
      <c r="I572" s="6">
        <f t="shared" si="38"/>
        <v>4990645.7400000012</v>
      </c>
      <c r="J572" s="6">
        <f>J570+J513+J498</f>
        <v>5751121.0099408878</v>
      </c>
      <c r="N572" s="41"/>
    </row>
    <row r="573" spans="1:14" x14ac:dyDescent="0.25">
      <c r="A573" s="1" t="s">
        <v>2</v>
      </c>
      <c r="B573" s="1" t="s">
        <v>2</v>
      </c>
      <c r="C573" s="1" t="s">
        <v>2</v>
      </c>
      <c r="D573" s="1" t="s">
        <v>2</v>
      </c>
      <c r="E573" s="1"/>
      <c r="F573" s="1"/>
      <c r="G573" s="1"/>
      <c r="H573" s="1"/>
      <c r="I573" s="1" t="s">
        <v>2</v>
      </c>
      <c r="J573" s="1" t="s">
        <v>2</v>
      </c>
      <c r="N573" s="41"/>
    </row>
    <row r="574" spans="1:14" ht="15" customHeight="1" x14ac:dyDescent="0.25">
      <c r="A574" s="1" t="s">
        <v>415</v>
      </c>
      <c r="B574" s="1" t="s">
        <v>2</v>
      </c>
      <c r="J574" s="92"/>
      <c r="N574" s="41"/>
    </row>
    <row r="575" spans="1:14" ht="15" customHeight="1" x14ac:dyDescent="0.25">
      <c r="A575" s="2" t="s">
        <v>416</v>
      </c>
      <c r="B575" s="2" t="s">
        <v>417</v>
      </c>
      <c r="C575" s="3">
        <v>95963.83</v>
      </c>
      <c r="D575" s="3">
        <v>46738.51</v>
      </c>
      <c r="E575" s="3">
        <v>81787.23</v>
      </c>
      <c r="F575" s="3"/>
      <c r="G575" s="3">
        <v>94613.46</v>
      </c>
      <c r="H575" s="3">
        <f>G575/11*12</f>
        <v>103214.68363636364</v>
      </c>
      <c r="I575" s="3">
        <v>100608.61</v>
      </c>
      <c r="J575" s="302">
        <v>109001.48</v>
      </c>
      <c r="N575" s="41"/>
    </row>
    <row r="576" spans="1:14" ht="15" customHeight="1" x14ac:dyDescent="0.25">
      <c r="A576" s="2" t="s">
        <v>418</v>
      </c>
      <c r="B576" s="2" t="s">
        <v>29</v>
      </c>
      <c r="C576" s="3">
        <v>1673.6</v>
      </c>
      <c r="D576" s="3">
        <v>764.48</v>
      </c>
      <c r="E576" s="3">
        <v>1322.24</v>
      </c>
      <c r="F576" s="3"/>
      <c r="G576" s="3">
        <v>1531.4</v>
      </c>
      <c r="H576" s="3">
        <f t="shared" ref="H576:H590" si="40">G576/11*12</f>
        <v>1670.6181818181817</v>
      </c>
      <c r="I576" s="3">
        <v>1725.56</v>
      </c>
      <c r="J576" s="302">
        <v>2093.2800000000002</v>
      </c>
      <c r="N576" s="41"/>
    </row>
    <row r="577" spans="1:14" ht="15" customHeight="1" x14ac:dyDescent="0.25">
      <c r="A577" s="2" t="s">
        <v>419</v>
      </c>
      <c r="B577" s="2" t="s">
        <v>31</v>
      </c>
      <c r="C577" s="3">
        <v>227.17</v>
      </c>
      <c r="D577" s="3">
        <v>98.12</v>
      </c>
      <c r="E577" s="3">
        <v>165.95</v>
      </c>
      <c r="F577" s="3"/>
      <c r="G577" s="3">
        <v>187.43</v>
      </c>
      <c r="H577" s="3">
        <f t="shared" si="40"/>
        <v>204.46909090909091</v>
      </c>
      <c r="I577" s="3">
        <v>277.48</v>
      </c>
      <c r="J577" s="302">
        <v>251.41</v>
      </c>
      <c r="N577" s="41"/>
    </row>
    <row r="578" spans="1:14" ht="15" customHeight="1" x14ac:dyDescent="0.25">
      <c r="A578" s="2" t="s">
        <v>420</v>
      </c>
      <c r="B578" s="2" t="s">
        <v>33</v>
      </c>
      <c r="C578" s="3">
        <v>11224.42</v>
      </c>
      <c r="D578" s="3">
        <v>5121.03</v>
      </c>
      <c r="E578" s="3">
        <v>8901.0300000000007</v>
      </c>
      <c r="F578" s="3"/>
      <c r="G578" s="3">
        <v>10337.370000000001</v>
      </c>
      <c r="H578" s="3">
        <f t="shared" si="40"/>
        <v>11277.130909090911</v>
      </c>
      <c r="I578" s="3">
        <v>10754.83</v>
      </c>
      <c r="J578" s="302">
        <v>11920.62</v>
      </c>
      <c r="N578" s="41"/>
    </row>
    <row r="579" spans="1:14" ht="15" customHeight="1" x14ac:dyDescent="0.25">
      <c r="A579" s="2" t="s">
        <v>421</v>
      </c>
      <c r="B579" s="2" t="s">
        <v>11</v>
      </c>
      <c r="C579" s="3">
        <v>7341.22</v>
      </c>
      <c r="D579" s="3">
        <v>3575.51</v>
      </c>
      <c r="E579" s="3">
        <v>6256.76</v>
      </c>
      <c r="F579" s="3"/>
      <c r="G579" s="3">
        <v>7237.97</v>
      </c>
      <c r="H579" s="3">
        <f t="shared" si="40"/>
        <v>7895.9672727272728</v>
      </c>
      <c r="I579" s="3">
        <v>7696.56</v>
      </c>
      <c r="J579" s="302">
        <v>8338.61</v>
      </c>
      <c r="N579" s="41"/>
    </row>
    <row r="580" spans="1:14" ht="15" customHeight="1" x14ac:dyDescent="0.25">
      <c r="A580" s="2" t="s">
        <v>422</v>
      </c>
      <c r="B580" s="2" t="s">
        <v>423</v>
      </c>
      <c r="C580" s="3">
        <v>140.83000000000001</v>
      </c>
      <c r="D580" s="3">
        <v>99.84</v>
      </c>
      <c r="E580" s="3">
        <v>173.87</v>
      </c>
      <c r="F580" s="3"/>
      <c r="G580" s="3">
        <v>194.69</v>
      </c>
      <c r="H580" s="3">
        <f t="shared" si="40"/>
        <v>212.3890909090909</v>
      </c>
      <c r="I580" s="3">
        <v>147.88999999999999</v>
      </c>
      <c r="J580" s="302">
        <v>237.54</v>
      </c>
    </row>
    <row r="581" spans="1:14" ht="15" customHeight="1" x14ac:dyDescent="0.25">
      <c r="A581" s="2" t="s">
        <v>424</v>
      </c>
      <c r="B581" s="2" t="s">
        <v>37</v>
      </c>
      <c r="C581" s="3">
        <v>558.83000000000004</v>
      </c>
      <c r="D581" s="3">
        <v>0</v>
      </c>
      <c r="E581" s="3">
        <v>0</v>
      </c>
      <c r="F581" s="3"/>
      <c r="G581" s="3">
        <v>0</v>
      </c>
      <c r="H581" s="3">
        <f t="shared" si="40"/>
        <v>0</v>
      </c>
      <c r="I581" s="3">
        <v>250</v>
      </c>
      <c r="J581" s="302">
        <v>250</v>
      </c>
    </row>
    <row r="582" spans="1:14" ht="15" customHeight="1" x14ac:dyDescent="0.25">
      <c r="A582" s="2" t="s">
        <v>425</v>
      </c>
      <c r="B582" s="2" t="s">
        <v>426</v>
      </c>
      <c r="C582" s="3">
        <v>0</v>
      </c>
      <c r="D582" s="3">
        <v>0</v>
      </c>
      <c r="E582" s="3">
        <v>0</v>
      </c>
      <c r="F582" s="3"/>
      <c r="G582" s="3">
        <v>0</v>
      </c>
      <c r="H582" s="3">
        <f t="shared" si="40"/>
        <v>0</v>
      </c>
      <c r="I582" s="3">
        <v>350</v>
      </c>
      <c r="J582" s="5">
        <v>350</v>
      </c>
    </row>
    <row r="583" spans="1:14" ht="15" customHeight="1" x14ac:dyDescent="0.25">
      <c r="A583" s="2" t="s">
        <v>427</v>
      </c>
      <c r="B583" s="2" t="s">
        <v>198</v>
      </c>
      <c r="C583" s="3">
        <v>1067.74</v>
      </c>
      <c r="D583" s="3">
        <v>1265.71</v>
      </c>
      <c r="E583" s="3">
        <v>1265.71</v>
      </c>
      <c r="F583" s="3"/>
      <c r="G583" s="3">
        <v>1160.23</v>
      </c>
      <c r="H583" s="3">
        <f t="shared" si="40"/>
        <v>1265.7054545454546</v>
      </c>
      <c r="I583" s="3">
        <v>1265.71</v>
      </c>
      <c r="J583" s="5">
        <f>+'Computer '!D13</f>
        <v>1067.7401342213111</v>
      </c>
    </row>
    <row r="584" spans="1:14" ht="15" customHeight="1" x14ac:dyDescent="0.25">
      <c r="A584" s="2" t="s">
        <v>428</v>
      </c>
      <c r="B584" s="2" t="s">
        <v>95</v>
      </c>
      <c r="C584" s="3">
        <v>145.19999999999999</v>
      </c>
      <c r="D584" s="3">
        <v>28.9</v>
      </c>
      <c r="E584" s="3">
        <v>53.1</v>
      </c>
      <c r="F584" s="3"/>
      <c r="G584" s="3">
        <v>72.599999999999994</v>
      </c>
      <c r="H584" s="3">
        <f t="shared" si="40"/>
        <v>79.199999999999989</v>
      </c>
      <c r="I584" s="3">
        <v>2000</v>
      </c>
      <c r="J584" s="5">
        <v>2000</v>
      </c>
    </row>
    <row r="585" spans="1:14" ht="15" customHeight="1" x14ac:dyDescent="0.25">
      <c r="A585" s="2" t="s">
        <v>429</v>
      </c>
      <c r="B585" s="2" t="s">
        <v>17</v>
      </c>
      <c r="C585" s="3">
        <v>0</v>
      </c>
      <c r="D585" s="3">
        <v>0</v>
      </c>
      <c r="E585" s="3">
        <v>0</v>
      </c>
      <c r="F585" s="3"/>
      <c r="G585" s="3">
        <v>0</v>
      </c>
      <c r="H585" s="3">
        <f t="shared" si="40"/>
        <v>0</v>
      </c>
      <c r="I585" s="3">
        <v>850</v>
      </c>
      <c r="J585" s="5">
        <v>850</v>
      </c>
    </row>
    <row r="586" spans="1:14" ht="15" customHeight="1" x14ac:dyDescent="0.25">
      <c r="A586" s="2" t="s">
        <v>430</v>
      </c>
      <c r="B586" s="2" t="s">
        <v>64</v>
      </c>
      <c r="C586" s="3">
        <v>40</v>
      </c>
      <c r="D586" s="3">
        <v>40</v>
      </c>
      <c r="E586" s="3">
        <v>40</v>
      </c>
      <c r="F586" s="3"/>
      <c r="G586" s="3">
        <v>40</v>
      </c>
      <c r="H586" s="3">
        <f t="shared" si="40"/>
        <v>43.636363636363633</v>
      </c>
      <c r="I586" s="3">
        <v>350</v>
      </c>
      <c r="J586" s="5">
        <v>350</v>
      </c>
    </row>
    <row r="587" spans="1:14" ht="15" customHeight="1" x14ac:dyDescent="0.25">
      <c r="A587" s="2" t="s">
        <v>431</v>
      </c>
      <c r="B587" s="2" t="s">
        <v>66</v>
      </c>
      <c r="C587" s="3">
        <v>0</v>
      </c>
      <c r="D587" s="3">
        <v>0</v>
      </c>
      <c r="E587" s="3">
        <v>0</v>
      </c>
      <c r="F587" s="3"/>
      <c r="G587" s="3">
        <v>0</v>
      </c>
      <c r="H587" s="3">
        <f t="shared" si="40"/>
        <v>0</v>
      </c>
      <c r="I587" s="3">
        <v>200</v>
      </c>
      <c r="J587" s="5">
        <v>200</v>
      </c>
    </row>
    <row r="588" spans="1:14" ht="15" customHeight="1" x14ac:dyDescent="0.25">
      <c r="A588" s="2"/>
      <c r="B588" s="2"/>
      <c r="C588" s="3"/>
      <c r="D588" s="3"/>
      <c r="E588" s="3"/>
      <c r="F588" s="3"/>
      <c r="G588" s="3"/>
      <c r="H588" s="3"/>
      <c r="I588" s="3"/>
      <c r="J588" s="302"/>
    </row>
    <row r="589" spans="1:14" ht="15" customHeight="1" x14ac:dyDescent="0.25">
      <c r="A589" s="1" t="s">
        <v>432</v>
      </c>
      <c r="B589" s="1" t="s">
        <v>2</v>
      </c>
      <c r="H589" s="3"/>
      <c r="J589" s="92"/>
    </row>
    <row r="590" spans="1:14" ht="15" customHeight="1" x14ac:dyDescent="0.25">
      <c r="A590" s="2" t="s">
        <v>433</v>
      </c>
      <c r="B590" s="2" t="s">
        <v>434</v>
      </c>
      <c r="C590" s="3">
        <v>218619.71</v>
      </c>
      <c r="D590" s="3">
        <v>77113.570000000007</v>
      </c>
      <c r="E590" s="3">
        <v>203518.26</v>
      </c>
      <c r="F590" s="3"/>
      <c r="G590" s="3">
        <v>265584.63</v>
      </c>
      <c r="H590" s="3">
        <f t="shared" si="40"/>
        <v>289728.68727272726</v>
      </c>
      <c r="I590" s="3">
        <v>260000</v>
      </c>
      <c r="J590" s="302">
        <v>300000</v>
      </c>
    </row>
    <row r="591" spans="1:14" ht="15" customHeight="1" x14ac:dyDescent="0.25">
      <c r="A591" s="1" t="s">
        <v>435</v>
      </c>
      <c r="B591" s="1" t="s">
        <v>2</v>
      </c>
      <c r="C591" s="4">
        <v>218619.71</v>
      </c>
      <c r="D591" s="4">
        <v>77113.570000000007</v>
      </c>
      <c r="E591" s="4">
        <f>E590</f>
        <v>203518.26</v>
      </c>
      <c r="F591" s="4"/>
      <c r="G591" s="4">
        <f t="shared" ref="G591" si="41">G590</f>
        <v>265584.63</v>
      </c>
      <c r="H591" s="4">
        <f>H590</f>
        <v>289728.68727272726</v>
      </c>
      <c r="I591" s="6">
        <f>SUM(I590)</f>
        <v>260000</v>
      </c>
      <c r="J591" s="304">
        <f>SUM(J590)</f>
        <v>300000</v>
      </c>
    </row>
    <row r="592" spans="1:14" x14ac:dyDescent="0.25">
      <c r="A592" s="1" t="s">
        <v>2</v>
      </c>
      <c r="B592" s="1" t="s">
        <v>2</v>
      </c>
      <c r="C592" s="1" t="s">
        <v>2</v>
      </c>
      <c r="D592" s="1" t="s">
        <v>2</v>
      </c>
      <c r="E592" s="1"/>
      <c r="F592" s="1"/>
      <c r="G592" s="1"/>
      <c r="H592" s="1"/>
      <c r="I592" s="1" t="s">
        <v>2</v>
      </c>
      <c r="J592" s="305" t="s">
        <v>2</v>
      </c>
    </row>
    <row r="593" spans="1:10" ht="15" customHeight="1" x14ac:dyDescent="0.25">
      <c r="A593" s="1" t="s">
        <v>436</v>
      </c>
      <c r="B593" s="1" t="s">
        <v>2</v>
      </c>
      <c r="C593" s="6">
        <v>337002.55</v>
      </c>
      <c r="D593" s="6">
        <v>134845.67000000001</v>
      </c>
      <c r="E593" s="6">
        <f>SUM(E575:E587)+E590</f>
        <v>303484.15000000002</v>
      </c>
      <c r="F593" s="6"/>
      <c r="G593" s="6">
        <f t="shared" ref="G593" si="42">SUM(G575:G587)+G590</f>
        <v>380959.78</v>
      </c>
      <c r="H593" s="6">
        <f>SUM(H575:H587)+H590</f>
        <v>415592.48727272724</v>
      </c>
      <c r="I593" s="6">
        <f>SUM(I575:I587)+I591</f>
        <v>386476.64</v>
      </c>
      <c r="J593" s="304">
        <f>SUM(J575:J587)+J591</f>
        <v>436910.68013422133</v>
      </c>
    </row>
    <row r="594" spans="1:10" x14ac:dyDescent="0.25">
      <c r="A594" s="1" t="s">
        <v>2</v>
      </c>
      <c r="B594" s="1" t="s">
        <v>2</v>
      </c>
      <c r="C594" s="1" t="s">
        <v>2</v>
      </c>
      <c r="D594" s="1" t="s">
        <v>2</v>
      </c>
      <c r="E594" s="1"/>
      <c r="F594" s="1"/>
      <c r="G594" s="1"/>
      <c r="H594" s="1"/>
      <c r="I594" s="1" t="s">
        <v>2</v>
      </c>
      <c r="J594" s="305" t="s">
        <v>2</v>
      </c>
    </row>
    <row r="595" spans="1:10" ht="15" customHeight="1" x14ac:dyDescent="0.25">
      <c r="A595" s="1" t="s">
        <v>437</v>
      </c>
      <c r="B595" s="1" t="s">
        <v>2</v>
      </c>
      <c r="J595" s="92"/>
    </row>
    <row r="596" spans="1:10" x14ac:dyDescent="0.25">
      <c r="A596" s="2" t="s">
        <v>438</v>
      </c>
      <c r="B596" s="2" t="s">
        <v>439</v>
      </c>
      <c r="C596" s="3">
        <v>0</v>
      </c>
      <c r="D596" s="3">
        <v>0</v>
      </c>
      <c r="E596" s="3">
        <v>0</v>
      </c>
      <c r="F596" s="3"/>
      <c r="G596" s="3">
        <v>0</v>
      </c>
      <c r="H596" s="3">
        <f>G596/11*12</f>
        <v>0</v>
      </c>
      <c r="I596" s="3">
        <v>93125.16</v>
      </c>
      <c r="J596" s="302">
        <v>0</v>
      </c>
    </row>
    <row r="597" spans="1:10" ht="15" customHeight="1" x14ac:dyDescent="0.25">
      <c r="A597" s="2" t="s">
        <v>440</v>
      </c>
      <c r="B597" s="2" t="s">
        <v>441</v>
      </c>
      <c r="C597" s="3">
        <v>74675.75</v>
      </c>
      <c r="D597" s="3">
        <v>36195.89</v>
      </c>
      <c r="E597" s="3">
        <v>62691.81</v>
      </c>
      <c r="F597" s="3"/>
      <c r="G597" s="3">
        <v>72627.78</v>
      </c>
      <c r="H597" s="3">
        <f t="shared" ref="H597:H617" si="43">G597/11*12</f>
        <v>79230.305454545451</v>
      </c>
      <c r="I597" s="3">
        <v>76630.48</v>
      </c>
      <c r="J597" s="302">
        <f>73145.82+1678+8238.6</f>
        <v>83062.420000000013</v>
      </c>
    </row>
    <row r="598" spans="1:10" ht="15" customHeight="1" x14ac:dyDescent="0.25">
      <c r="A598" s="2" t="s">
        <v>442</v>
      </c>
      <c r="B598" s="2" t="s">
        <v>443</v>
      </c>
      <c r="C598" s="3">
        <v>170232.37</v>
      </c>
      <c r="D598" s="3">
        <v>80686.12</v>
      </c>
      <c r="E598" s="3">
        <v>140026.84</v>
      </c>
      <c r="F598" s="3"/>
      <c r="G598" s="3">
        <v>162304.73000000001</v>
      </c>
      <c r="H598" s="3">
        <f t="shared" si="43"/>
        <v>177059.70545454547</v>
      </c>
      <c r="I598" s="3">
        <v>84235.13</v>
      </c>
      <c r="J598" s="302">
        <f>87394.83+1191+2002+97959.54+1200+1016</f>
        <v>190763.37</v>
      </c>
    </row>
    <row r="599" spans="1:10" ht="15" customHeight="1" x14ac:dyDescent="0.25">
      <c r="A599" s="2" t="s">
        <v>444</v>
      </c>
      <c r="B599" s="2" t="s">
        <v>445</v>
      </c>
      <c r="C599" s="3">
        <v>65834.2</v>
      </c>
      <c r="D599" s="3">
        <v>30961.55</v>
      </c>
      <c r="E599" s="3">
        <v>53666.95</v>
      </c>
      <c r="F599" s="3"/>
      <c r="G599" s="3">
        <v>62349.1</v>
      </c>
      <c r="H599" s="3">
        <f t="shared" si="43"/>
        <v>68017.2</v>
      </c>
      <c r="I599" s="3">
        <v>68358.16</v>
      </c>
      <c r="J599" s="302">
        <f>70968.56+1072.32+1200+520</f>
        <v>73760.88</v>
      </c>
    </row>
    <row r="600" spans="1:10" ht="15" customHeight="1" x14ac:dyDescent="0.25">
      <c r="A600" s="2" t="s">
        <v>446</v>
      </c>
      <c r="B600" s="2" t="s">
        <v>447</v>
      </c>
      <c r="C600" s="3">
        <v>50115.93</v>
      </c>
      <c r="D600" s="3">
        <v>24309.82</v>
      </c>
      <c r="E600" s="3">
        <v>41996.54</v>
      </c>
      <c r="F600" s="3"/>
      <c r="G600" s="3">
        <v>48462.7</v>
      </c>
      <c r="H600" s="3">
        <f t="shared" si="43"/>
        <v>52868.399999999994</v>
      </c>
      <c r="I600" s="3">
        <v>53697.06</v>
      </c>
      <c r="J600" s="302">
        <v>52110.86</v>
      </c>
    </row>
    <row r="601" spans="1:10" ht="15" customHeight="1" x14ac:dyDescent="0.25">
      <c r="A601" s="2" t="s">
        <v>448</v>
      </c>
      <c r="B601" s="2" t="s">
        <v>449</v>
      </c>
      <c r="C601" s="3">
        <v>5776.2</v>
      </c>
      <c r="D601" s="3">
        <v>1951.09</v>
      </c>
      <c r="E601" s="3">
        <v>3448.83</v>
      </c>
      <c r="F601" s="3"/>
      <c r="G601" s="3">
        <v>4025.53</v>
      </c>
      <c r="H601" s="3">
        <f t="shared" si="43"/>
        <v>4391.4872727272732</v>
      </c>
      <c r="I601" s="3">
        <v>6195.28</v>
      </c>
      <c r="J601" s="302">
        <v>4825.9799999999996</v>
      </c>
    </row>
    <row r="602" spans="1:10" ht="15" customHeight="1" x14ac:dyDescent="0.25">
      <c r="A602" s="2" t="s">
        <v>450</v>
      </c>
      <c r="B602" s="2" t="s">
        <v>451</v>
      </c>
      <c r="C602" s="3">
        <v>40079.78</v>
      </c>
      <c r="D602" s="3">
        <v>17266.61</v>
      </c>
      <c r="E602" s="3">
        <v>30274.44</v>
      </c>
      <c r="F602" s="3"/>
      <c r="G602" s="3">
        <v>35220.629999999997</v>
      </c>
      <c r="H602" s="3">
        <f t="shared" si="43"/>
        <v>38422.505454545455</v>
      </c>
      <c r="I602" s="3">
        <v>36867.5</v>
      </c>
      <c r="J602" s="302">
        <v>42223.1</v>
      </c>
    </row>
    <row r="603" spans="1:10" ht="15" customHeight="1" x14ac:dyDescent="0.25">
      <c r="A603" s="2" t="s">
        <v>452</v>
      </c>
      <c r="B603" s="2" t="s">
        <v>453</v>
      </c>
      <c r="C603" s="3">
        <v>23622.799999999999</v>
      </c>
      <c r="D603" s="3">
        <v>11237.02</v>
      </c>
      <c r="E603" s="3">
        <v>19487.3</v>
      </c>
      <c r="F603" s="3"/>
      <c r="G603" s="3">
        <v>22596.58</v>
      </c>
      <c r="H603" s="3">
        <f t="shared" si="43"/>
        <v>24650.814545454548</v>
      </c>
      <c r="I603" s="3">
        <v>24659.69</v>
      </c>
      <c r="J603" s="302">
        <v>26590.38</v>
      </c>
    </row>
    <row r="604" spans="1:10" ht="15" customHeight="1" x14ac:dyDescent="0.25">
      <c r="A604" s="2" t="s">
        <v>454</v>
      </c>
      <c r="B604" s="2" t="s">
        <v>455</v>
      </c>
      <c r="C604" s="3">
        <v>455.71</v>
      </c>
      <c r="D604" s="3">
        <v>315.72000000000003</v>
      </c>
      <c r="E604" s="3">
        <v>546.45000000000005</v>
      </c>
      <c r="F604" s="3"/>
      <c r="G604" s="3">
        <v>612.36</v>
      </c>
      <c r="H604" s="3">
        <f t="shared" si="43"/>
        <v>668.02909090909088</v>
      </c>
      <c r="I604" s="3">
        <v>473.85</v>
      </c>
      <c r="J604" s="302">
        <v>757.46</v>
      </c>
    </row>
    <row r="605" spans="1:10" ht="15" customHeight="1" x14ac:dyDescent="0.25">
      <c r="A605" s="2" t="s">
        <v>456</v>
      </c>
      <c r="B605" s="2" t="s">
        <v>85</v>
      </c>
      <c r="C605" s="3">
        <v>3300</v>
      </c>
      <c r="D605" s="3">
        <v>3300</v>
      </c>
      <c r="E605" s="3">
        <v>3300</v>
      </c>
      <c r="F605" s="3"/>
      <c r="G605" s="3">
        <v>3300</v>
      </c>
      <c r="H605" s="3">
        <f t="shared" si="43"/>
        <v>3600</v>
      </c>
      <c r="I605" s="3">
        <v>3300</v>
      </c>
      <c r="J605" s="302">
        <v>3300</v>
      </c>
    </row>
    <row r="606" spans="1:10" ht="15" customHeight="1" x14ac:dyDescent="0.25">
      <c r="A606" s="2" t="s">
        <v>457</v>
      </c>
      <c r="B606" s="2" t="s">
        <v>458</v>
      </c>
      <c r="C606" s="3">
        <v>825</v>
      </c>
      <c r="D606" s="3">
        <v>313.08</v>
      </c>
      <c r="E606" s="3">
        <v>542.39</v>
      </c>
      <c r="F606" s="3"/>
      <c r="G606" s="3">
        <v>817.39</v>
      </c>
      <c r="H606" s="3">
        <f t="shared" si="43"/>
        <v>891.69818181818187</v>
      </c>
      <c r="I606" s="3">
        <v>825</v>
      </c>
      <c r="J606" s="302">
        <v>825</v>
      </c>
    </row>
    <row r="607" spans="1:10" ht="15" customHeight="1" x14ac:dyDescent="0.25">
      <c r="A607" s="2" t="s">
        <v>459</v>
      </c>
      <c r="B607" s="2" t="s">
        <v>37</v>
      </c>
      <c r="C607" s="3">
        <v>272.8</v>
      </c>
      <c r="D607" s="3">
        <v>143.86000000000001</v>
      </c>
      <c r="E607" s="3">
        <v>249.6</v>
      </c>
      <c r="F607" s="3"/>
      <c r="G607" s="3">
        <v>435.53</v>
      </c>
      <c r="H607" s="3">
        <f t="shared" si="43"/>
        <v>475.12363636363636</v>
      </c>
      <c r="I607" s="3">
        <v>1000</v>
      </c>
      <c r="J607" s="302">
        <v>800</v>
      </c>
    </row>
    <row r="608" spans="1:10" ht="15" customHeight="1" x14ac:dyDescent="0.25">
      <c r="A608" s="2" t="s">
        <v>460</v>
      </c>
      <c r="B608" s="2" t="s">
        <v>39</v>
      </c>
      <c r="C608" s="3">
        <v>0</v>
      </c>
      <c r="D608" s="3">
        <v>16.850000000000001</v>
      </c>
      <c r="E608" s="3">
        <v>16.850000000000001</v>
      </c>
      <c r="F608" s="3"/>
      <c r="G608" s="3">
        <v>16.850000000000001</v>
      </c>
      <c r="H608" s="3">
        <f t="shared" si="43"/>
        <v>18.381818181818183</v>
      </c>
      <c r="I608" s="3">
        <v>0</v>
      </c>
      <c r="J608" s="302">
        <v>0</v>
      </c>
    </row>
    <row r="609" spans="1:10" ht="15" customHeight="1" x14ac:dyDescent="0.25">
      <c r="A609" s="2" t="s">
        <v>461</v>
      </c>
      <c r="B609" s="2" t="s">
        <v>462</v>
      </c>
      <c r="C609" s="3">
        <v>0</v>
      </c>
      <c r="D609" s="3">
        <v>0</v>
      </c>
      <c r="E609" s="3">
        <v>0</v>
      </c>
      <c r="F609" s="3"/>
      <c r="G609" s="3">
        <v>0</v>
      </c>
      <c r="H609" s="3">
        <f t="shared" si="43"/>
        <v>0</v>
      </c>
      <c r="I609" s="3">
        <v>1000</v>
      </c>
      <c r="J609" s="302">
        <v>800</v>
      </c>
    </row>
    <row r="610" spans="1:10" ht="15" customHeight="1" x14ac:dyDescent="0.25">
      <c r="A610" s="2" t="s">
        <v>463</v>
      </c>
      <c r="B610" s="2" t="s">
        <v>464</v>
      </c>
      <c r="C610" s="3">
        <v>0</v>
      </c>
      <c r="D610" s="3">
        <v>0</v>
      </c>
      <c r="E610" s="3">
        <v>0</v>
      </c>
      <c r="F610" s="3"/>
      <c r="G610" s="3">
        <v>0</v>
      </c>
      <c r="H610" s="3">
        <f t="shared" si="43"/>
        <v>0</v>
      </c>
      <c r="I610" s="3">
        <v>0</v>
      </c>
      <c r="J610" s="302">
        <v>0</v>
      </c>
    </row>
    <row r="611" spans="1:10" x14ac:dyDescent="0.25">
      <c r="A611" s="2" t="s">
        <v>465</v>
      </c>
      <c r="B611" s="2" t="s">
        <v>466</v>
      </c>
      <c r="C611" s="3">
        <v>15259.5</v>
      </c>
      <c r="D611" s="3">
        <v>9272.7999999999993</v>
      </c>
      <c r="E611" s="3">
        <v>9272.7999999999993</v>
      </c>
      <c r="F611" s="3"/>
      <c r="G611" s="3">
        <v>8500.07</v>
      </c>
      <c r="H611" s="3">
        <f t="shared" si="43"/>
        <v>9272.8036363636365</v>
      </c>
      <c r="I611" s="3">
        <v>9272.7999999999993</v>
      </c>
      <c r="J611" s="5">
        <f>Equipment!$C$11</f>
        <v>15259.501756756759</v>
      </c>
    </row>
    <row r="612" spans="1:10" x14ac:dyDescent="0.25">
      <c r="A612" s="2" t="s">
        <v>467</v>
      </c>
      <c r="B612" s="2" t="s">
        <v>468</v>
      </c>
      <c r="C612" s="3">
        <v>14695.12</v>
      </c>
      <c r="D612" s="3">
        <v>5062.84</v>
      </c>
      <c r="E612" s="3">
        <v>5062.84</v>
      </c>
      <c r="F612" s="3"/>
      <c r="G612" s="3">
        <v>4640.9399999999996</v>
      </c>
      <c r="H612" s="3">
        <f t="shared" si="43"/>
        <v>5062.8436363636356</v>
      </c>
      <c r="I612" s="3">
        <v>5062.84</v>
      </c>
      <c r="J612" s="5">
        <f>+'Computer '!D14</f>
        <v>14695.115805327867</v>
      </c>
    </row>
    <row r="613" spans="1:10" ht="15" customHeight="1" x14ac:dyDescent="0.25">
      <c r="A613" s="2" t="s">
        <v>469</v>
      </c>
      <c r="B613" s="2" t="s">
        <v>57</v>
      </c>
      <c r="C613" s="3">
        <v>3743.33</v>
      </c>
      <c r="D613" s="3">
        <v>1084.0999999999999</v>
      </c>
      <c r="E613" s="3">
        <v>1997.14</v>
      </c>
      <c r="F613" s="3"/>
      <c r="G613" s="3">
        <v>2453.1</v>
      </c>
      <c r="H613" s="3">
        <f t="shared" si="43"/>
        <v>2676.1090909090908</v>
      </c>
      <c r="I613" s="3">
        <v>3800</v>
      </c>
      <c r="J613" s="5">
        <f>Phone!$C$11</f>
        <v>3800</v>
      </c>
    </row>
    <row r="614" spans="1:10" ht="15" customHeight="1" x14ac:dyDescent="0.25">
      <c r="A614" s="2" t="s">
        <v>470</v>
      </c>
      <c r="B614" s="2" t="s">
        <v>17</v>
      </c>
      <c r="C614" s="3">
        <v>917.09</v>
      </c>
      <c r="D614" s="3">
        <v>1363.28</v>
      </c>
      <c r="E614" s="3">
        <v>2510.2199999999998</v>
      </c>
      <c r="F614" s="3"/>
      <c r="G614" s="3">
        <v>3487.82</v>
      </c>
      <c r="H614" s="3">
        <f t="shared" si="43"/>
        <v>3804.8945454545456</v>
      </c>
      <c r="I614" s="3">
        <v>3000</v>
      </c>
      <c r="J614" s="5">
        <v>3000</v>
      </c>
    </row>
    <row r="615" spans="1:10" ht="15" customHeight="1" x14ac:dyDescent="0.25">
      <c r="A615" s="2" t="s">
        <v>471</v>
      </c>
      <c r="B615" s="2" t="s">
        <v>472</v>
      </c>
      <c r="C615" s="3">
        <v>0</v>
      </c>
      <c r="D615" s="3">
        <v>0</v>
      </c>
      <c r="E615" s="3">
        <v>0</v>
      </c>
      <c r="F615" s="3"/>
      <c r="G615" s="3">
        <v>0</v>
      </c>
      <c r="H615" s="3">
        <f t="shared" si="43"/>
        <v>0</v>
      </c>
      <c r="I615" s="3">
        <v>0</v>
      </c>
      <c r="J615" s="5">
        <v>0</v>
      </c>
    </row>
    <row r="616" spans="1:10" ht="15" customHeight="1" x14ac:dyDescent="0.25">
      <c r="A616" s="2" t="s">
        <v>473</v>
      </c>
      <c r="B616" s="2" t="s">
        <v>64</v>
      </c>
      <c r="C616" s="3">
        <v>2380.5500000000002</v>
      </c>
      <c r="D616" s="3">
        <v>277</v>
      </c>
      <c r="E616" s="3">
        <v>1018.51</v>
      </c>
      <c r="F616" s="3"/>
      <c r="G616" s="3">
        <v>1113.51</v>
      </c>
      <c r="H616" s="3">
        <f t="shared" si="43"/>
        <v>1214.7381818181818</v>
      </c>
      <c r="I616" s="3">
        <v>2000</v>
      </c>
      <c r="J616" s="5">
        <v>2500</v>
      </c>
    </row>
    <row r="617" spans="1:10" ht="15" customHeight="1" x14ac:dyDescent="0.25">
      <c r="A617" s="2" t="s">
        <v>474</v>
      </c>
      <c r="B617" s="2" t="s">
        <v>66</v>
      </c>
      <c r="C617" s="3">
        <v>1190.8699999999999</v>
      </c>
      <c r="D617" s="3">
        <v>550</v>
      </c>
      <c r="E617" s="3">
        <v>900</v>
      </c>
      <c r="F617" s="3"/>
      <c r="G617" s="3">
        <v>900</v>
      </c>
      <c r="H617" s="3">
        <f t="shared" si="43"/>
        <v>981.81818181818176</v>
      </c>
      <c r="I617" s="3">
        <v>2500</v>
      </c>
      <c r="J617" s="5">
        <v>2500</v>
      </c>
    </row>
    <row r="618" spans="1:10" ht="15" customHeight="1" x14ac:dyDescent="0.25">
      <c r="A618" s="1" t="s">
        <v>475</v>
      </c>
      <c r="B618" s="1" t="s">
        <v>2</v>
      </c>
      <c r="C618" s="6">
        <v>473377</v>
      </c>
      <c r="D618" s="6">
        <v>224307.63</v>
      </c>
      <c r="E618" s="6">
        <f>SUM(E596:E617)</f>
        <v>377009.50999999995</v>
      </c>
      <c r="F618" s="6"/>
      <c r="G618" s="6">
        <f>SUM(G596:G617)</f>
        <v>433864.62000000005</v>
      </c>
      <c r="H618" s="6">
        <f>SUM(H596:H617)</f>
        <v>473306.85818181821</v>
      </c>
      <c r="I618" s="6">
        <f>SUM(I596:I617)</f>
        <v>476002.95000000007</v>
      </c>
      <c r="J618" s="6">
        <f>SUM(J596:J617)</f>
        <v>521574.06756208465</v>
      </c>
    </row>
    <row r="619" spans="1:10" x14ac:dyDescent="0.25">
      <c r="A619" s="1" t="s">
        <v>2</v>
      </c>
      <c r="B619" s="1" t="s">
        <v>2</v>
      </c>
      <c r="C619" s="1" t="s">
        <v>2</v>
      </c>
      <c r="D619" s="1" t="s">
        <v>2</v>
      </c>
      <c r="E619" s="1"/>
      <c r="F619" s="1"/>
      <c r="G619" s="1"/>
      <c r="H619" s="1"/>
      <c r="I619" s="1" t="s">
        <v>2</v>
      </c>
      <c r="J619" s="1" t="s">
        <v>2</v>
      </c>
    </row>
    <row r="620" spans="1:10" ht="15" customHeight="1" x14ac:dyDescent="0.25">
      <c r="A620" s="1" t="s">
        <v>476</v>
      </c>
      <c r="B620" s="1" t="s">
        <v>2</v>
      </c>
    </row>
    <row r="621" spans="1:10" ht="15" customHeight="1" x14ac:dyDescent="0.25">
      <c r="A621" s="2" t="s">
        <v>477</v>
      </c>
      <c r="B621" s="2" t="s">
        <v>478</v>
      </c>
      <c r="C621" s="3">
        <v>42308</v>
      </c>
      <c r="D621" s="3">
        <v>43725</v>
      </c>
      <c r="E621" s="3">
        <v>43725</v>
      </c>
      <c r="F621" s="3"/>
      <c r="G621" s="3">
        <v>43725</v>
      </c>
      <c r="H621" s="3">
        <f>G621/11*12</f>
        <v>47700</v>
      </c>
      <c r="I621" s="3">
        <v>45000</v>
      </c>
      <c r="J621" s="302">
        <v>60000</v>
      </c>
    </row>
    <row r="622" spans="1:10" x14ac:dyDescent="0.25">
      <c r="A622" s="2" t="s">
        <v>479</v>
      </c>
      <c r="B622" s="2" t="s">
        <v>480</v>
      </c>
      <c r="C622" s="3">
        <v>156686.39000000001</v>
      </c>
      <c r="D622" s="3">
        <v>55191.519999999997</v>
      </c>
      <c r="E622" s="3">
        <v>118425.45</v>
      </c>
      <c r="F622" s="3"/>
      <c r="G622" s="3">
        <v>118425.45</v>
      </c>
      <c r="H622" s="3">
        <f>G622/11*12</f>
        <v>129191.4</v>
      </c>
      <c r="I622" s="3">
        <v>135072</v>
      </c>
      <c r="J622" s="5">
        <v>160000</v>
      </c>
    </row>
    <row r="623" spans="1:10" ht="15" customHeight="1" x14ac:dyDescent="0.25">
      <c r="A623" s="1" t="s">
        <v>481</v>
      </c>
      <c r="B623" s="1" t="s">
        <v>2</v>
      </c>
      <c r="C623" s="6">
        <v>198994.39</v>
      </c>
      <c r="D623" s="6">
        <v>98916.52</v>
      </c>
      <c r="E623" s="6">
        <f>SUM(E621:E622)</f>
        <v>162150.45000000001</v>
      </c>
      <c r="F623" s="6"/>
      <c r="G623" s="6">
        <f>SUM(G621:G622)</f>
        <v>162150.45000000001</v>
      </c>
      <c r="H623" s="6">
        <f>SUM(H621:H622)</f>
        <v>176891.4</v>
      </c>
      <c r="I623" s="6">
        <f>SUM(I621:I622)</f>
        <v>180072</v>
      </c>
      <c r="J623" s="6">
        <f>SUM(J621:J622)</f>
        <v>220000</v>
      </c>
    </row>
    <row r="624" spans="1:10" x14ac:dyDescent="0.25">
      <c r="A624" s="1" t="s">
        <v>2</v>
      </c>
      <c r="B624" s="1" t="s">
        <v>2</v>
      </c>
      <c r="C624" s="1" t="s">
        <v>2</v>
      </c>
      <c r="D624" s="1" t="s">
        <v>2</v>
      </c>
      <c r="E624" s="1"/>
      <c r="F624" s="1"/>
      <c r="G624" s="1"/>
      <c r="H624" s="1"/>
      <c r="I624" s="1" t="s">
        <v>2</v>
      </c>
      <c r="J624" s="1" t="s">
        <v>2</v>
      </c>
    </row>
    <row r="625" spans="1:12" ht="26.45" customHeight="1" x14ac:dyDescent="0.25">
      <c r="A625" s="1" t="s">
        <v>482</v>
      </c>
      <c r="B625" s="1" t="s">
        <v>2</v>
      </c>
      <c r="L625" s="243"/>
    </row>
    <row r="626" spans="1:12" ht="15" customHeight="1" x14ac:dyDescent="0.25">
      <c r="A626" s="2" t="s">
        <v>483</v>
      </c>
      <c r="B626" s="2" t="s">
        <v>484</v>
      </c>
      <c r="C626" s="3">
        <v>32710.95</v>
      </c>
      <c r="D626" s="3">
        <v>7890.15</v>
      </c>
      <c r="E626" s="3">
        <v>10103.56</v>
      </c>
      <c r="F626" s="3"/>
      <c r="G626" s="3">
        <v>11677.57</v>
      </c>
      <c r="H626" s="3">
        <f>G626/11*12</f>
        <v>12739.167272727271</v>
      </c>
      <c r="I626" s="3">
        <v>89618.35</v>
      </c>
      <c r="J626" s="302">
        <f>32773.22+78175.5</f>
        <v>110948.72</v>
      </c>
      <c r="K626" s="306" t="s">
        <v>4179</v>
      </c>
      <c r="L626" s="243"/>
    </row>
    <row r="627" spans="1:12" ht="15" customHeight="1" x14ac:dyDescent="0.25">
      <c r="A627" s="2" t="s">
        <v>485</v>
      </c>
      <c r="B627" s="2" t="s">
        <v>486</v>
      </c>
      <c r="C627" s="3">
        <v>2240.69</v>
      </c>
      <c r="D627" s="3">
        <v>713.94</v>
      </c>
      <c r="E627" s="3">
        <v>1365.67</v>
      </c>
      <c r="F627" s="3"/>
      <c r="G627" s="3">
        <v>1729.69</v>
      </c>
      <c r="H627" s="3">
        <f t="shared" ref="H627:H652" si="44">G627/11*12</f>
        <v>1886.9345454545455</v>
      </c>
      <c r="I627" s="3">
        <v>1736.83</v>
      </c>
      <c r="J627" s="302">
        <v>1925.93</v>
      </c>
      <c r="K627" s="306"/>
    </row>
    <row r="628" spans="1:12" ht="15" customHeight="1" x14ac:dyDescent="0.25">
      <c r="A628" s="2" t="s">
        <v>487</v>
      </c>
      <c r="B628" s="2" t="s">
        <v>488</v>
      </c>
      <c r="C628" s="3">
        <v>533.11</v>
      </c>
      <c r="D628" s="3">
        <v>456.88</v>
      </c>
      <c r="E628" s="3">
        <v>667.2</v>
      </c>
      <c r="F628" s="3"/>
      <c r="G628" s="3">
        <v>719.6</v>
      </c>
      <c r="H628" s="3">
        <f t="shared" si="44"/>
        <v>785.0181818181818</v>
      </c>
      <c r="I628" s="3">
        <v>714.1</v>
      </c>
      <c r="J628" s="302">
        <v>0</v>
      </c>
      <c r="K628" s="306"/>
    </row>
    <row r="629" spans="1:12" x14ac:dyDescent="0.25">
      <c r="A629" s="2" t="s">
        <v>489</v>
      </c>
      <c r="B629" s="2" t="s">
        <v>490</v>
      </c>
      <c r="C629" s="3">
        <v>8941.56</v>
      </c>
      <c r="D629" s="3">
        <v>2097.6</v>
      </c>
      <c r="E629" s="3">
        <v>2702.84</v>
      </c>
      <c r="F629" s="3"/>
      <c r="G629" s="3">
        <v>3063.29</v>
      </c>
      <c r="H629" s="3">
        <f t="shared" si="44"/>
        <v>3341.7709090909093</v>
      </c>
      <c r="I629" s="3">
        <v>32605.040000000001</v>
      </c>
      <c r="J629" s="302">
        <f>8981.55+30080.31</f>
        <v>39061.86</v>
      </c>
      <c r="K629" s="306"/>
    </row>
    <row r="630" spans="1:12" ht="15" customHeight="1" x14ac:dyDescent="0.25">
      <c r="A630" s="2" t="s">
        <v>491</v>
      </c>
      <c r="B630" s="2" t="s">
        <v>492</v>
      </c>
      <c r="C630" s="3">
        <v>797.65</v>
      </c>
      <c r="D630" s="3">
        <v>123.84</v>
      </c>
      <c r="E630" s="3">
        <v>161.97999999999999</v>
      </c>
      <c r="F630" s="3"/>
      <c r="G630" s="3">
        <v>184.53</v>
      </c>
      <c r="H630" s="3">
        <f t="shared" si="44"/>
        <v>201.30545454545455</v>
      </c>
      <c r="I630" s="3">
        <v>2268.4899999999998</v>
      </c>
      <c r="J630" s="302">
        <f>620.31</f>
        <v>620.30999999999995</v>
      </c>
      <c r="K630" s="306"/>
    </row>
    <row r="631" spans="1:12" ht="15" customHeight="1" x14ac:dyDescent="0.25">
      <c r="A631" s="2" t="s">
        <v>493</v>
      </c>
      <c r="B631" s="2" t="s">
        <v>494</v>
      </c>
      <c r="C631" s="3">
        <v>3922.48</v>
      </c>
      <c r="D631" s="3">
        <v>937.39</v>
      </c>
      <c r="E631" s="3">
        <v>1197.6500000000001</v>
      </c>
      <c r="F631" s="3"/>
      <c r="G631" s="3">
        <v>1386.65</v>
      </c>
      <c r="H631" s="3">
        <f t="shared" si="44"/>
        <v>1512.7090909090909</v>
      </c>
      <c r="I631" s="3">
        <v>11006.04</v>
      </c>
      <c r="J631" s="302">
        <v>3405.14</v>
      </c>
      <c r="K631" s="306"/>
    </row>
    <row r="632" spans="1:12" x14ac:dyDescent="0.25">
      <c r="A632" s="2" t="s">
        <v>495</v>
      </c>
      <c r="B632" s="2" t="s">
        <v>496</v>
      </c>
      <c r="C632" s="3">
        <v>2468.2199999999998</v>
      </c>
      <c r="D632" s="3">
        <v>596.48</v>
      </c>
      <c r="E632" s="3">
        <v>763.67</v>
      </c>
      <c r="F632" s="3"/>
      <c r="G632" s="3">
        <v>882.82</v>
      </c>
      <c r="H632" s="3">
        <f t="shared" si="44"/>
        <v>963.07636363636379</v>
      </c>
      <c r="I632" s="3">
        <v>6855.8</v>
      </c>
      <c r="J632" s="302">
        <v>2507.15</v>
      </c>
      <c r="K632" s="306"/>
    </row>
    <row r="633" spans="1:12" ht="15" customHeight="1" x14ac:dyDescent="0.25">
      <c r="A633" s="2" t="s">
        <v>497</v>
      </c>
      <c r="B633" s="2" t="s">
        <v>498</v>
      </c>
      <c r="C633" s="3">
        <v>424.65</v>
      </c>
      <c r="D633" s="3">
        <v>149.9</v>
      </c>
      <c r="E633" s="3">
        <v>306.66000000000003</v>
      </c>
      <c r="F633" s="3"/>
      <c r="G633" s="3">
        <v>390.37</v>
      </c>
      <c r="H633" s="3">
        <f t="shared" si="44"/>
        <v>425.85818181818183</v>
      </c>
      <c r="I633" s="3">
        <v>450.55</v>
      </c>
      <c r="J633" s="302">
        <v>461.04</v>
      </c>
      <c r="K633" s="306"/>
    </row>
    <row r="634" spans="1:12" ht="15" customHeight="1" x14ac:dyDescent="0.25">
      <c r="A634" s="2" t="s">
        <v>499</v>
      </c>
      <c r="B634" s="2" t="s">
        <v>500</v>
      </c>
      <c r="C634" s="3">
        <v>45.43</v>
      </c>
      <c r="D634" s="3">
        <v>8.68</v>
      </c>
      <c r="E634" s="3">
        <v>20.92</v>
      </c>
      <c r="F634" s="3"/>
      <c r="G634" s="3">
        <v>26.38</v>
      </c>
      <c r="H634" s="3">
        <f t="shared" si="44"/>
        <v>28.778181818181814</v>
      </c>
      <c r="I634" s="3">
        <v>39.450000000000003</v>
      </c>
      <c r="J634" s="302">
        <v>30.5</v>
      </c>
      <c r="K634" s="306"/>
    </row>
    <row r="635" spans="1:12" ht="15" customHeight="1" x14ac:dyDescent="0.25">
      <c r="A635" s="2" t="s">
        <v>501</v>
      </c>
      <c r="B635" s="2" t="s">
        <v>502</v>
      </c>
      <c r="C635" s="3">
        <v>290.86</v>
      </c>
      <c r="D635" s="3">
        <v>79.52</v>
      </c>
      <c r="E635" s="3">
        <v>156.63999999999999</v>
      </c>
      <c r="F635" s="3"/>
      <c r="G635" s="3">
        <v>199.54</v>
      </c>
      <c r="H635" s="3">
        <f t="shared" si="44"/>
        <v>217.68</v>
      </c>
      <c r="I635" s="3">
        <v>206.22</v>
      </c>
      <c r="J635" s="302">
        <v>200.1</v>
      </c>
      <c r="K635" s="306"/>
    </row>
    <row r="636" spans="1:12" ht="15" customHeight="1" x14ac:dyDescent="0.25">
      <c r="A636" s="2" t="s">
        <v>503</v>
      </c>
      <c r="B636" s="2" t="s">
        <v>504</v>
      </c>
      <c r="C636" s="3">
        <v>170.13</v>
      </c>
      <c r="D636" s="3">
        <v>53.91</v>
      </c>
      <c r="E636" s="3">
        <v>103.39</v>
      </c>
      <c r="F636" s="3"/>
      <c r="G636" s="3">
        <v>130.88</v>
      </c>
      <c r="H636" s="3">
        <f t="shared" si="44"/>
        <v>142.77818181818182</v>
      </c>
      <c r="I636" s="3">
        <v>132.87</v>
      </c>
      <c r="J636" s="302">
        <v>147.33000000000001</v>
      </c>
      <c r="K636" s="306"/>
    </row>
    <row r="637" spans="1:12" ht="15" customHeight="1" x14ac:dyDescent="0.25">
      <c r="A637" s="2" t="s">
        <v>505</v>
      </c>
      <c r="B637" s="2" t="s">
        <v>85</v>
      </c>
      <c r="C637" s="3">
        <v>361.21</v>
      </c>
      <c r="D637" s="3">
        <v>330.2</v>
      </c>
      <c r="E637" s="3">
        <v>330.2</v>
      </c>
      <c r="F637" s="3"/>
      <c r="G637" s="3">
        <v>330.2</v>
      </c>
      <c r="H637" s="3">
        <f t="shared" si="44"/>
        <v>360.21818181818179</v>
      </c>
      <c r="I637" s="3">
        <v>51</v>
      </c>
      <c r="J637" s="302">
        <v>357</v>
      </c>
      <c r="K637" s="306"/>
    </row>
    <row r="638" spans="1:12" ht="15" customHeight="1" x14ac:dyDescent="0.25">
      <c r="A638" s="2" t="s">
        <v>506</v>
      </c>
      <c r="B638" s="2" t="s">
        <v>507</v>
      </c>
      <c r="C638" s="3">
        <v>13.04</v>
      </c>
      <c r="D638" s="3">
        <v>7.9</v>
      </c>
      <c r="E638" s="3">
        <v>12.13</v>
      </c>
      <c r="F638" s="3"/>
      <c r="G638" s="3">
        <v>12.63</v>
      </c>
      <c r="H638" s="3">
        <f t="shared" si="44"/>
        <v>13.778181818181817</v>
      </c>
      <c r="I638" s="3">
        <v>19.73</v>
      </c>
      <c r="J638" s="302">
        <v>0</v>
      </c>
      <c r="K638" s="306"/>
    </row>
    <row r="639" spans="1:12" x14ac:dyDescent="0.25">
      <c r="A639" s="2" t="s">
        <v>508</v>
      </c>
      <c r="B639" s="2" t="s">
        <v>509</v>
      </c>
      <c r="C639" s="3">
        <v>72.64</v>
      </c>
      <c r="D639" s="3">
        <v>54.42</v>
      </c>
      <c r="E639" s="3">
        <v>79.41</v>
      </c>
      <c r="F639" s="3"/>
      <c r="G639" s="3">
        <v>85.79</v>
      </c>
      <c r="H639" s="3">
        <f t="shared" si="44"/>
        <v>93.589090909090913</v>
      </c>
      <c r="I639" s="3">
        <v>88.02</v>
      </c>
      <c r="J639" s="302">
        <v>0</v>
      </c>
      <c r="K639" s="306"/>
    </row>
    <row r="640" spans="1:12" x14ac:dyDescent="0.25">
      <c r="A640" s="2" t="s">
        <v>510</v>
      </c>
      <c r="B640" s="2" t="s">
        <v>511</v>
      </c>
      <c r="C640" s="3">
        <v>40.549999999999997</v>
      </c>
      <c r="D640" s="3">
        <v>34.49</v>
      </c>
      <c r="E640" s="3">
        <v>50.37</v>
      </c>
      <c r="F640" s="3"/>
      <c r="G640" s="3">
        <v>54.34</v>
      </c>
      <c r="H640" s="3">
        <f t="shared" si="44"/>
        <v>59.28</v>
      </c>
      <c r="I640" s="3">
        <v>54.63</v>
      </c>
      <c r="J640" s="302">
        <v>0</v>
      </c>
      <c r="K640" s="306"/>
    </row>
    <row r="641" spans="1:11" ht="15" customHeight="1" x14ac:dyDescent="0.25">
      <c r="A641" s="2" t="s">
        <v>512</v>
      </c>
      <c r="B641" s="2" t="s">
        <v>513</v>
      </c>
      <c r="C641" s="3">
        <v>48.72</v>
      </c>
      <c r="D641" s="3">
        <v>18.02</v>
      </c>
      <c r="E641" s="3">
        <v>23</v>
      </c>
      <c r="F641" s="3"/>
      <c r="G641" s="3">
        <v>25.82</v>
      </c>
      <c r="H641" s="3">
        <f t="shared" si="44"/>
        <v>28.167272727272724</v>
      </c>
      <c r="I641" s="3">
        <v>132.79</v>
      </c>
      <c r="J641" s="302">
        <v>71.760000000000005</v>
      </c>
      <c r="K641" s="306"/>
    </row>
    <row r="642" spans="1:11" ht="15" customHeight="1" x14ac:dyDescent="0.25">
      <c r="A642" s="2" t="s">
        <v>514</v>
      </c>
      <c r="B642" s="2" t="s">
        <v>515</v>
      </c>
      <c r="C642" s="3">
        <v>3.28</v>
      </c>
      <c r="D642" s="3">
        <v>1.57</v>
      </c>
      <c r="E642" s="3">
        <v>2.91</v>
      </c>
      <c r="F642" s="3"/>
      <c r="G642" s="3">
        <v>3.7</v>
      </c>
      <c r="H642" s="3">
        <f t="shared" si="44"/>
        <v>4.0363636363636362</v>
      </c>
      <c r="I642" s="3">
        <v>2.5499999999999998</v>
      </c>
      <c r="J642" s="302">
        <v>4.2</v>
      </c>
      <c r="K642" s="306"/>
    </row>
    <row r="643" spans="1:11" x14ac:dyDescent="0.25">
      <c r="A643" s="2" t="s">
        <v>516</v>
      </c>
      <c r="B643" s="2" t="s">
        <v>517</v>
      </c>
      <c r="C643" s="3">
        <v>67.11</v>
      </c>
      <c r="D643" s="3">
        <v>10.73</v>
      </c>
      <c r="E643" s="3">
        <v>11.8</v>
      </c>
      <c r="F643" s="3"/>
      <c r="G643" s="3">
        <v>18.3</v>
      </c>
      <c r="H643" s="3">
        <f t="shared" si="44"/>
        <v>19.963636363636365</v>
      </c>
      <c r="I643" s="3">
        <v>318.25</v>
      </c>
      <c r="J643" s="302">
        <v>116.56</v>
      </c>
      <c r="K643" s="306"/>
    </row>
    <row r="644" spans="1:11" ht="15" customHeight="1" x14ac:dyDescent="0.25">
      <c r="A644" s="2" t="s">
        <v>518</v>
      </c>
      <c r="B644" s="2" t="s">
        <v>519</v>
      </c>
      <c r="C644" s="3">
        <v>0</v>
      </c>
      <c r="D644" s="3">
        <v>0</v>
      </c>
      <c r="E644" s="3">
        <v>0</v>
      </c>
      <c r="F644" s="3"/>
      <c r="G644" s="3">
        <v>0</v>
      </c>
      <c r="H644" s="3">
        <f t="shared" si="44"/>
        <v>0</v>
      </c>
      <c r="I644" s="3">
        <v>500</v>
      </c>
      <c r="J644" s="5">
        <v>500</v>
      </c>
    </row>
    <row r="645" spans="1:11" ht="15" customHeight="1" x14ac:dyDescent="0.25">
      <c r="A645" s="2" t="s">
        <v>520</v>
      </c>
      <c r="B645" s="2" t="s">
        <v>92</v>
      </c>
      <c r="C645" s="3">
        <v>2319.9699999999998</v>
      </c>
      <c r="D645" s="3">
        <v>11370.06</v>
      </c>
      <c r="E645" s="3">
        <v>11370.06</v>
      </c>
      <c r="F645" s="3"/>
      <c r="G645" s="3">
        <v>10422.549999999999</v>
      </c>
      <c r="H645" s="3">
        <f t="shared" si="44"/>
        <v>11370.054545454544</v>
      </c>
      <c r="I645" s="3">
        <v>11370.06</v>
      </c>
      <c r="J645" s="5">
        <f>Equipment!$C$12</f>
        <v>2319.9700000000003</v>
      </c>
    </row>
    <row r="646" spans="1:11" ht="15" customHeight="1" x14ac:dyDescent="0.25">
      <c r="A646" s="2" t="s">
        <v>521</v>
      </c>
      <c r="B646" s="2" t="s">
        <v>99</v>
      </c>
      <c r="C646" s="3">
        <v>2192.84</v>
      </c>
      <c r="D646" s="3">
        <v>570.04999999999995</v>
      </c>
      <c r="E646" s="3">
        <v>1142.74</v>
      </c>
      <c r="F646" s="3"/>
      <c r="G646" s="3">
        <v>1428.05</v>
      </c>
      <c r="H646" s="3">
        <f t="shared" si="44"/>
        <v>1557.8727272727272</v>
      </c>
      <c r="I646" s="3">
        <v>3000</v>
      </c>
      <c r="J646" s="5">
        <f>Phone!$C$12</f>
        <v>3000</v>
      </c>
    </row>
    <row r="647" spans="1:11" x14ac:dyDescent="0.25">
      <c r="A647" s="2" t="s">
        <v>522</v>
      </c>
      <c r="B647" s="2" t="s">
        <v>523</v>
      </c>
      <c r="C647" s="3">
        <v>11087.38</v>
      </c>
      <c r="D647" s="3">
        <v>5166.96</v>
      </c>
      <c r="E647" s="3">
        <v>8904.93</v>
      </c>
      <c r="F647" s="3"/>
      <c r="G647" s="3">
        <v>11243.19</v>
      </c>
      <c r="H647" s="3">
        <f t="shared" si="44"/>
        <v>12265.298181818182</v>
      </c>
      <c r="I647" s="3">
        <v>12000</v>
      </c>
      <c r="J647" s="5">
        <v>15000</v>
      </c>
    </row>
    <row r="648" spans="1:11" x14ac:dyDescent="0.25">
      <c r="A648" s="2" t="s">
        <v>524</v>
      </c>
      <c r="B648" s="2" t="s">
        <v>525</v>
      </c>
      <c r="C648" s="3">
        <v>7240.84</v>
      </c>
      <c r="D648" s="3">
        <v>703.8</v>
      </c>
      <c r="E648" s="3">
        <v>6604.28</v>
      </c>
      <c r="F648" s="3"/>
      <c r="G648" s="3">
        <v>8756.0400000000009</v>
      </c>
      <c r="H648" s="3">
        <f t="shared" si="44"/>
        <v>9552.0436363636381</v>
      </c>
      <c r="I648" s="3">
        <v>8000</v>
      </c>
      <c r="J648" s="5">
        <v>8000</v>
      </c>
    </row>
    <row r="649" spans="1:11" x14ac:dyDescent="0.25">
      <c r="A649" s="2" t="s">
        <v>526</v>
      </c>
      <c r="B649" s="2" t="s">
        <v>527</v>
      </c>
      <c r="C649" s="3">
        <v>21713.06</v>
      </c>
      <c r="D649" s="3">
        <v>14606.55</v>
      </c>
      <c r="E649" s="3">
        <v>27257.72</v>
      </c>
      <c r="F649" s="3"/>
      <c r="G649" s="3">
        <v>36119.910000000003</v>
      </c>
      <c r="H649" s="3">
        <f t="shared" si="44"/>
        <v>39403.538181818185</v>
      </c>
      <c r="I649" s="3">
        <v>20000</v>
      </c>
      <c r="J649" s="5">
        <v>25000</v>
      </c>
    </row>
    <row r="650" spans="1:11" x14ac:dyDescent="0.25">
      <c r="A650" s="2" t="s">
        <v>528</v>
      </c>
      <c r="B650" s="2" t="s">
        <v>529</v>
      </c>
      <c r="C650" s="3">
        <v>23827.79</v>
      </c>
      <c r="D650" s="3">
        <v>7327.11</v>
      </c>
      <c r="E650" s="3">
        <v>14386.99</v>
      </c>
      <c r="F650" s="3"/>
      <c r="G650" s="3">
        <v>16341.93</v>
      </c>
      <c r="H650" s="3">
        <f t="shared" si="44"/>
        <v>17827.560000000001</v>
      </c>
      <c r="I650" s="3">
        <v>25000</v>
      </c>
      <c r="J650" s="5">
        <v>27000</v>
      </c>
    </row>
    <row r="651" spans="1:11" x14ac:dyDescent="0.25">
      <c r="A651" s="2" t="s">
        <v>530</v>
      </c>
      <c r="B651" s="2" t="s">
        <v>531</v>
      </c>
      <c r="C651" s="3">
        <v>559.73</v>
      </c>
      <c r="D651" s="3">
        <v>0</v>
      </c>
      <c r="E651" s="3">
        <v>230</v>
      </c>
      <c r="F651" s="3"/>
      <c r="G651" s="3">
        <v>230</v>
      </c>
      <c r="H651" s="3">
        <f t="shared" si="44"/>
        <v>250.90909090909093</v>
      </c>
      <c r="I651" s="3">
        <v>1000</v>
      </c>
      <c r="J651" s="5">
        <v>1000</v>
      </c>
    </row>
    <row r="652" spans="1:11" ht="15" customHeight="1" x14ac:dyDescent="0.25">
      <c r="A652" s="2" t="s">
        <v>532</v>
      </c>
      <c r="B652" s="2" t="s">
        <v>533</v>
      </c>
      <c r="C652" s="3">
        <v>0</v>
      </c>
      <c r="D652" s="3">
        <v>0</v>
      </c>
      <c r="E652" s="3">
        <v>1.83</v>
      </c>
      <c r="F652" s="3"/>
      <c r="G652" s="3">
        <v>115.93</v>
      </c>
      <c r="H652" s="3">
        <f t="shared" si="44"/>
        <v>126.46909090909091</v>
      </c>
      <c r="I652" s="3">
        <v>5000</v>
      </c>
      <c r="J652" s="5">
        <v>5000</v>
      </c>
    </row>
    <row r="653" spans="1:11" ht="30" customHeight="1" x14ac:dyDescent="0.25">
      <c r="A653" s="1" t="s">
        <v>534</v>
      </c>
      <c r="B653" s="1" t="s">
        <v>2</v>
      </c>
      <c r="C653" s="6">
        <v>122093.89</v>
      </c>
      <c r="D653" s="6">
        <v>53310.15</v>
      </c>
      <c r="E653" s="6">
        <f>SUM(E626:E652)</f>
        <v>87958.55</v>
      </c>
      <c r="F653" s="6"/>
      <c r="G653" s="6">
        <f>SUM(G626:G652)</f>
        <v>105579.70000000001</v>
      </c>
      <c r="H653" s="6">
        <f>SUM(H626:H652)</f>
        <v>115177.85454545454</v>
      </c>
      <c r="I653" s="6">
        <f>SUM(I626:I652)</f>
        <v>232170.77</v>
      </c>
      <c r="J653" s="6">
        <f>SUM(J626:J652)</f>
        <v>246677.57000000004</v>
      </c>
    </row>
    <row r="654" spans="1:11" x14ac:dyDescent="0.25">
      <c r="A654" s="1" t="s">
        <v>2</v>
      </c>
      <c r="B654" s="1" t="s">
        <v>2</v>
      </c>
      <c r="C654" s="6" t="s">
        <v>2</v>
      </c>
      <c r="D654" s="6" t="s">
        <v>2</v>
      </c>
      <c r="E654" s="6"/>
      <c r="F654" s="6"/>
      <c r="G654" s="6"/>
      <c r="H654" s="6"/>
      <c r="I654" s="6" t="s">
        <v>2</v>
      </c>
      <c r="J654" s="1" t="s">
        <v>2</v>
      </c>
    </row>
    <row r="655" spans="1:11" ht="29.45" customHeight="1" x14ac:dyDescent="0.25">
      <c r="A655" s="1" t="s">
        <v>535</v>
      </c>
      <c r="B655" s="1" t="s">
        <v>2</v>
      </c>
    </row>
    <row r="656" spans="1:11" ht="15" customHeight="1" x14ac:dyDescent="0.25">
      <c r="A656" s="2" t="s">
        <v>536</v>
      </c>
      <c r="B656" s="2" t="s">
        <v>108</v>
      </c>
      <c r="C656" s="3">
        <v>144070.32999999999</v>
      </c>
      <c r="D656" s="3">
        <v>64064.959999999999</v>
      </c>
      <c r="E656" s="3">
        <v>110261.18</v>
      </c>
      <c r="F656" s="3"/>
      <c r="G656" s="3">
        <v>129248.35</v>
      </c>
      <c r="H656" s="3">
        <f>G656/11*12</f>
        <v>140998.20000000001</v>
      </c>
      <c r="I656" s="3">
        <v>147030.29</v>
      </c>
      <c r="J656" s="302">
        <v>163427.85</v>
      </c>
    </row>
    <row r="657" spans="1:10" ht="15" customHeight="1" x14ac:dyDescent="0.25">
      <c r="A657" s="2" t="s">
        <v>537</v>
      </c>
      <c r="B657" s="2" t="s">
        <v>29</v>
      </c>
      <c r="C657" s="3">
        <v>40441.06</v>
      </c>
      <c r="D657" s="3">
        <v>17931.349999999999</v>
      </c>
      <c r="E657" s="3">
        <v>30735.200000000001</v>
      </c>
      <c r="F657" s="3"/>
      <c r="G657" s="3">
        <v>35393.29</v>
      </c>
      <c r="H657" s="3">
        <f t="shared" ref="H657:H668" si="45">G657/11*12</f>
        <v>38610.861818181816</v>
      </c>
      <c r="I657" s="3">
        <v>40860.65</v>
      </c>
      <c r="J657" s="302">
        <v>44707.05</v>
      </c>
    </row>
    <row r="658" spans="1:10" ht="15" customHeight="1" x14ac:dyDescent="0.25">
      <c r="A658" s="2" t="s">
        <v>538</v>
      </c>
      <c r="B658" s="2" t="s">
        <v>31</v>
      </c>
      <c r="C658" s="3">
        <v>3003.22</v>
      </c>
      <c r="D658" s="3">
        <v>892.76</v>
      </c>
      <c r="E658" s="3">
        <v>1667.37</v>
      </c>
      <c r="F658" s="3"/>
      <c r="G658" s="3">
        <v>1978.56</v>
      </c>
      <c r="H658" s="3">
        <f t="shared" si="45"/>
        <v>2158.429090909091</v>
      </c>
      <c r="I658" s="3">
        <v>3156.16</v>
      </c>
      <c r="J658" s="302">
        <v>2531.27</v>
      </c>
    </row>
    <row r="659" spans="1:10" ht="15" customHeight="1" x14ac:dyDescent="0.25">
      <c r="A659" s="2" t="s">
        <v>539</v>
      </c>
      <c r="B659" s="2" t="s">
        <v>33</v>
      </c>
      <c r="C659" s="3">
        <v>19473.36</v>
      </c>
      <c r="D659" s="3">
        <v>7665.81</v>
      </c>
      <c r="E659" s="3">
        <v>13225.93</v>
      </c>
      <c r="F659" s="3"/>
      <c r="G659" s="3">
        <v>15520.07</v>
      </c>
      <c r="H659" s="3">
        <f t="shared" si="45"/>
        <v>16930.985454545455</v>
      </c>
      <c r="I659" s="3">
        <v>17557.61</v>
      </c>
      <c r="J659" s="302">
        <v>16980.16</v>
      </c>
    </row>
    <row r="660" spans="1:10" x14ac:dyDescent="0.25">
      <c r="A660" s="2" t="s">
        <v>540</v>
      </c>
      <c r="B660" s="2" t="s">
        <v>113</v>
      </c>
      <c r="C660" s="3">
        <v>10772.88</v>
      </c>
      <c r="D660" s="3">
        <v>4796.46</v>
      </c>
      <c r="E660" s="3">
        <v>8255.68</v>
      </c>
      <c r="F660" s="3"/>
      <c r="G660" s="3">
        <v>9680.15</v>
      </c>
      <c r="H660" s="3">
        <f t="shared" si="45"/>
        <v>10560.163636363635</v>
      </c>
      <c r="I660" s="3">
        <v>11247.82</v>
      </c>
      <c r="J660" s="302">
        <v>12502.23</v>
      </c>
    </row>
    <row r="661" spans="1:10" ht="15" customHeight="1" x14ac:dyDescent="0.25">
      <c r="A661" s="2" t="s">
        <v>541</v>
      </c>
      <c r="B661" s="2" t="s">
        <v>13</v>
      </c>
      <c r="C661" s="3">
        <v>211.41</v>
      </c>
      <c r="D661" s="3">
        <v>136.62</v>
      </c>
      <c r="E661" s="3">
        <v>233.93</v>
      </c>
      <c r="F661" s="3"/>
      <c r="G661" s="3">
        <v>264.68</v>
      </c>
      <c r="H661" s="3">
        <f t="shared" si="45"/>
        <v>288.74181818181819</v>
      </c>
      <c r="I661" s="3">
        <v>216.13</v>
      </c>
      <c r="J661" s="302">
        <v>356.03</v>
      </c>
    </row>
    <row r="662" spans="1:10" ht="15" customHeight="1" x14ac:dyDescent="0.25">
      <c r="A662" s="2" t="s">
        <v>542</v>
      </c>
      <c r="B662" s="2" t="s">
        <v>543</v>
      </c>
      <c r="C662" s="3">
        <v>374</v>
      </c>
      <c r="D662" s="3">
        <v>0</v>
      </c>
      <c r="E662" s="3">
        <v>0</v>
      </c>
      <c r="F662" s="3"/>
      <c r="G662" s="3">
        <v>0</v>
      </c>
      <c r="H662" s="3">
        <f t="shared" si="45"/>
        <v>0</v>
      </c>
      <c r="I662" s="3">
        <v>283.25</v>
      </c>
      <c r="J662" s="302">
        <v>305.25</v>
      </c>
    </row>
    <row r="663" spans="1:10" ht="15" customHeight="1" x14ac:dyDescent="0.25">
      <c r="A663" s="2" t="s">
        <v>544</v>
      </c>
      <c r="B663" s="2" t="s">
        <v>37</v>
      </c>
      <c r="C663" s="3">
        <v>0</v>
      </c>
      <c r="D663" s="3">
        <v>84.85</v>
      </c>
      <c r="E663" s="3">
        <v>644.91</v>
      </c>
      <c r="F663" s="3"/>
      <c r="G663" s="3">
        <v>644.91</v>
      </c>
      <c r="H663" s="3">
        <f t="shared" si="45"/>
        <v>703.53818181818178</v>
      </c>
      <c r="I663" s="3">
        <v>0</v>
      </c>
      <c r="J663" s="5">
        <v>0</v>
      </c>
    </row>
    <row r="664" spans="1:10" ht="15" customHeight="1" x14ac:dyDescent="0.25">
      <c r="A664" s="2" t="s">
        <v>545</v>
      </c>
      <c r="B664" s="2" t="s">
        <v>92</v>
      </c>
      <c r="C664" s="3">
        <v>9123.7199999999993</v>
      </c>
      <c r="D664" s="3">
        <v>2360.56</v>
      </c>
      <c r="E664" s="3">
        <v>2360.56</v>
      </c>
      <c r="F664" s="3"/>
      <c r="G664" s="3">
        <v>2163.85</v>
      </c>
      <c r="H664" s="3">
        <f t="shared" si="45"/>
        <v>2360.5636363636363</v>
      </c>
      <c r="I664" s="3">
        <v>2360.56</v>
      </c>
      <c r="J664" s="5">
        <f>Equipment!$C$13</f>
        <v>9123.7239189189168</v>
      </c>
    </row>
    <row r="665" spans="1:10" x14ac:dyDescent="0.25">
      <c r="A665" s="2" t="s">
        <v>546</v>
      </c>
      <c r="B665" s="2" t="s">
        <v>547</v>
      </c>
      <c r="C665" s="3">
        <v>2169.7600000000002</v>
      </c>
      <c r="D665" s="3">
        <v>3240.22</v>
      </c>
      <c r="E665" s="3">
        <v>3240.22</v>
      </c>
      <c r="F665" s="3"/>
      <c r="G665" s="3">
        <v>2970.2</v>
      </c>
      <c r="H665" s="3">
        <f t="shared" si="45"/>
        <v>3240.2181818181816</v>
      </c>
      <c r="I665" s="3">
        <v>3240.22</v>
      </c>
      <c r="J665" s="5">
        <f>'Computer '!$D$15</f>
        <v>2169.7561966290978</v>
      </c>
    </row>
    <row r="666" spans="1:10" x14ac:dyDescent="0.25">
      <c r="A666" s="2" t="s">
        <v>548</v>
      </c>
      <c r="B666" s="2" t="s">
        <v>549</v>
      </c>
      <c r="C666" s="3">
        <v>99653.64</v>
      </c>
      <c r="D666" s="3">
        <v>14880.8</v>
      </c>
      <c r="E666" s="3">
        <v>30429.48</v>
      </c>
      <c r="F666" s="3"/>
      <c r="G666" s="3">
        <v>55611.21</v>
      </c>
      <c r="H666" s="3">
        <f t="shared" si="45"/>
        <v>60666.774545454551</v>
      </c>
      <c r="I666" s="3">
        <v>100000</v>
      </c>
      <c r="J666" s="5">
        <v>110000</v>
      </c>
    </row>
    <row r="667" spans="1:10" x14ac:dyDescent="0.25">
      <c r="A667" s="2" t="s">
        <v>3207</v>
      </c>
      <c r="B667" s="2" t="s">
        <v>17</v>
      </c>
      <c r="C667" s="3">
        <v>0</v>
      </c>
      <c r="D667" s="3"/>
      <c r="E667" s="3">
        <v>0.75</v>
      </c>
      <c r="F667" s="3"/>
      <c r="G667" s="3">
        <v>4.6900000000000004</v>
      </c>
      <c r="H667" s="3">
        <f t="shared" si="45"/>
        <v>5.1163636363636371</v>
      </c>
      <c r="I667" s="3">
        <v>0</v>
      </c>
      <c r="J667" s="5">
        <v>0</v>
      </c>
    </row>
    <row r="668" spans="1:10" ht="15" customHeight="1" x14ac:dyDescent="0.25">
      <c r="A668" s="2" t="s">
        <v>550</v>
      </c>
      <c r="B668" s="2" t="s">
        <v>64</v>
      </c>
      <c r="C668" s="3">
        <v>113.49</v>
      </c>
      <c r="D668" s="3">
        <v>47.37</v>
      </c>
      <c r="E668" s="3">
        <v>85.16</v>
      </c>
      <c r="F668" s="3"/>
      <c r="G668" s="3">
        <v>104.06</v>
      </c>
      <c r="H668" s="3">
        <f t="shared" si="45"/>
        <v>113.52000000000001</v>
      </c>
      <c r="I668" s="3">
        <v>1000</v>
      </c>
      <c r="J668" s="5">
        <v>1000</v>
      </c>
    </row>
    <row r="669" spans="1:10" ht="15" customHeight="1" x14ac:dyDescent="0.25">
      <c r="A669" s="1" t="s">
        <v>551</v>
      </c>
      <c r="B669" s="1" t="s">
        <v>2</v>
      </c>
      <c r="C669" s="6">
        <v>329406.87</v>
      </c>
      <c r="D669" s="6">
        <v>116101.75999999999</v>
      </c>
      <c r="E669" s="6">
        <f>SUM(E656:E668)</f>
        <v>201140.37</v>
      </c>
      <c r="F669" s="6"/>
      <c r="G669" s="6">
        <f>SUM(G656:G668)</f>
        <v>253584.02000000002</v>
      </c>
      <c r="H669" s="6">
        <f>SUM(H656:H668)</f>
        <v>276637.11272727273</v>
      </c>
      <c r="I669" s="6">
        <f>SUM(I656:I668)</f>
        <v>326952.69000000006</v>
      </c>
      <c r="J669" s="6">
        <f>SUM(J656:J668)</f>
        <v>363103.32011554809</v>
      </c>
    </row>
    <row r="670" spans="1:10" x14ac:dyDescent="0.25">
      <c r="A670" s="1" t="s">
        <v>2</v>
      </c>
      <c r="B670" s="1" t="s">
        <v>2</v>
      </c>
      <c r="C670" s="1" t="s">
        <v>2</v>
      </c>
      <c r="D670" s="1" t="s">
        <v>2</v>
      </c>
      <c r="E670" s="1"/>
      <c r="F670" s="1"/>
      <c r="G670" s="1"/>
      <c r="H670" s="1"/>
      <c r="I670" s="1" t="s">
        <v>2</v>
      </c>
      <c r="J670" s="1" t="s">
        <v>2</v>
      </c>
    </row>
    <row r="671" spans="1:10" ht="15" customHeight="1" x14ac:dyDescent="0.25">
      <c r="A671" s="1" t="s">
        <v>552</v>
      </c>
      <c r="B671" s="1" t="s">
        <v>2</v>
      </c>
    </row>
    <row r="672" spans="1:10" ht="15" customHeight="1" x14ac:dyDescent="0.25">
      <c r="A672" s="2" t="s">
        <v>553</v>
      </c>
      <c r="B672" s="2" t="s">
        <v>554</v>
      </c>
      <c r="C672" s="3">
        <v>5005</v>
      </c>
      <c r="D672" s="3">
        <v>5110</v>
      </c>
      <c r="E672" s="3">
        <v>5110</v>
      </c>
      <c r="F672" s="3"/>
      <c r="G672" s="3">
        <v>5110</v>
      </c>
      <c r="H672" s="3">
        <f t="shared" ref="H672" si="46">E672/9*12</f>
        <v>6813.3333333333339</v>
      </c>
      <c r="I672" s="3">
        <v>5110</v>
      </c>
      <c r="J672" s="5">
        <v>7000</v>
      </c>
    </row>
    <row r="673" spans="1:10" ht="15" customHeight="1" x14ac:dyDescent="0.25">
      <c r="A673" s="1" t="s">
        <v>555</v>
      </c>
      <c r="B673" s="1" t="s">
        <v>2</v>
      </c>
      <c r="C673" s="6">
        <v>5005</v>
      </c>
      <c r="D673" s="6">
        <v>5110</v>
      </c>
      <c r="E673" s="6">
        <f>E672</f>
        <v>5110</v>
      </c>
      <c r="F673" s="6"/>
      <c r="G673" s="6">
        <f t="shared" ref="G673" si="47">G672</f>
        <v>5110</v>
      </c>
      <c r="H673" s="6">
        <f>H672</f>
        <v>6813.3333333333339</v>
      </c>
      <c r="I673" s="6">
        <f>SUM(I672)</f>
        <v>5110</v>
      </c>
      <c r="J673" s="6">
        <f>SUM(J672)</f>
        <v>7000</v>
      </c>
    </row>
    <row r="674" spans="1:10" x14ac:dyDescent="0.25">
      <c r="A674" s="1" t="s">
        <v>2</v>
      </c>
      <c r="B674" s="1" t="s">
        <v>2</v>
      </c>
      <c r="C674" s="1" t="s">
        <v>2</v>
      </c>
      <c r="D674" s="1" t="s">
        <v>2</v>
      </c>
      <c r="E674" s="1"/>
      <c r="F674" s="1"/>
      <c r="G674" s="1"/>
      <c r="H674" s="1"/>
      <c r="I674" s="1" t="s">
        <v>2</v>
      </c>
      <c r="J674" s="1" t="s">
        <v>2</v>
      </c>
    </row>
    <row r="675" spans="1:10" ht="15" customHeight="1" x14ac:dyDescent="0.25">
      <c r="A675" s="1" t="s">
        <v>557</v>
      </c>
      <c r="B675" s="1" t="s">
        <v>2</v>
      </c>
    </row>
    <row r="676" spans="1:10" ht="15" customHeight="1" x14ac:dyDescent="0.25">
      <c r="A676" s="2" t="s">
        <v>558</v>
      </c>
      <c r="B676" s="2" t="s">
        <v>559</v>
      </c>
      <c r="C676" s="3">
        <v>701570.81</v>
      </c>
      <c r="D676" s="3">
        <v>2980.21</v>
      </c>
      <c r="E676" s="3">
        <v>2980.21</v>
      </c>
      <c r="F676" s="3"/>
      <c r="G676" s="3">
        <v>2980.21</v>
      </c>
      <c r="H676" s="3">
        <f t="shared" ref="H676" si="48">E676/9*12</f>
        <v>3973.6133333333337</v>
      </c>
      <c r="I676" s="3">
        <v>0</v>
      </c>
      <c r="J676" s="5">
        <v>0</v>
      </c>
    </row>
    <row r="677" spans="1:10" ht="15" customHeight="1" x14ac:dyDescent="0.25">
      <c r="A677" s="1" t="s">
        <v>560</v>
      </c>
      <c r="B677" s="1" t="s">
        <v>2</v>
      </c>
      <c r="C677" s="6">
        <v>701570.81</v>
      </c>
      <c r="D677" s="6">
        <v>2980.21</v>
      </c>
      <c r="E677" s="6">
        <f>E676</f>
        <v>2980.21</v>
      </c>
      <c r="F677" s="6"/>
      <c r="G677" s="6">
        <f>G676</f>
        <v>2980.21</v>
      </c>
      <c r="H677" s="6">
        <f>H676</f>
        <v>3973.6133333333337</v>
      </c>
      <c r="I677" s="6">
        <f>SUM(I676)</f>
        <v>0</v>
      </c>
      <c r="J677" s="6">
        <f>SUM(J676)</f>
        <v>0</v>
      </c>
    </row>
    <row r="678" spans="1:10" x14ac:dyDescent="0.25">
      <c r="A678" s="1" t="s">
        <v>2</v>
      </c>
      <c r="B678" s="1" t="s">
        <v>2</v>
      </c>
      <c r="C678" s="1" t="s">
        <v>2</v>
      </c>
      <c r="D678" s="1" t="s">
        <v>2</v>
      </c>
      <c r="E678" s="1"/>
      <c r="F678" s="1"/>
      <c r="G678" s="1"/>
      <c r="H678" s="1"/>
      <c r="I678" s="1" t="s">
        <v>2</v>
      </c>
      <c r="J678" s="1" t="s">
        <v>2</v>
      </c>
    </row>
    <row r="679" spans="1:10" x14ac:dyDescent="0.25">
      <c r="A679" s="1" t="s">
        <v>561</v>
      </c>
      <c r="B679" s="1" t="s">
        <v>2</v>
      </c>
    </row>
    <row r="680" spans="1:10" ht="15" customHeight="1" x14ac:dyDescent="0.25">
      <c r="A680" s="2" t="s">
        <v>562</v>
      </c>
      <c r="B680" s="2" t="s">
        <v>563</v>
      </c>
      <c r="C680" s="3">
        <v>2251.37</v>
      </c>
      <c r="D680" s="3">
        <v>0</v>
      </c>
      <c r="E680" s="3">
        <v>0</v>
      </c>
      <c r="F680" s="3"/>
      <c r="G680" s="3">
        <v>0</v>
      </c>
      <c r="H680" s="3">
        <f>G680/11*12</f>
        <v>0</v>
      </c>
      <c r="I680" s="3">
        <v>0</v>
      </c>
      <c r="J680" s="5">
        <v>0</v>
      </c>
    </row>
    <row r="681" spans="1:10" ht="15" customHeight="1" x14ac:dyDescent="0.25">
      <c r="A681" s="2" t="s">
        <v>564</v>
      </c>
      <c r="B681" s="2" t="s">
        <v>565</v>
      </c>
      <c r="C681" s="3">
        <v>264197.74</v>
      </c>
      <c r="D681" s="3">
        <v>132594.04</v>
      </c>
      <c r="E681" s="3">
        <v>252179.21</v>
      </c>
      <c r="F681" s="3"/>
      <c r="G681" s="3">
        <v>285738.87</v>
      </c>
      <c r="H681" s="3">
        <f t="shared" ref="H681:H719" si="49">G681/11*12</f>
        <v>311715.13090909092</v>
      </c>
      <c r="I681" s="3">
        <v>296626.24</v>
      </c>
      <c r="J681" s="302">
        <v>324174.31</v>
      </c>
    </row>
    <row r="682" spans="1:10" ht="15" customHeight="1" x14ac:dyDescent="0.25">
      <c r="A682" s="2" t="s">
        <v>566</v>
      </c>
      <c r="B682" s="2" t="s">
        <v>567</v>
      </c>
      <c r="C682" s="3">
        <v>7840.51</v>
      </c>
      <c r="D682" s="3">
        <v>0</v>
      </c>
      <c r="E682" s="3">
        <v>6222.66</v>
      </c>
      <c r="F682" s="3"/>
      <c r="G682" s="3">
        <v>7538.95</v>
      </c>
      <c r="H682" s="3">
        <f t="shared" si="49"/>
        <v>8224.3090909090915</v>
      </c>
      <c r="I682" s="3">
        <v>31831.48</v>
      </c>
      <c r="J682" s="302">
        <v>8235.59</v>
      </c>
    </row>
    <row r="683" spans="1:10" ht="15" customHeight="1" x14ac:dyDescent="0.25">
      <c r="A683" s="2" t="s">
        <v>568</v>
      </c>
      <c r="B683" s="2" t="s">
        <v>569</v>
      </c>
      <c r="C683" s="3">
        <v>4872.6899999999996</v>
      </c>
      <c r="D683" s="3">
        <v>575.26</v>
      </c>
      <c r="E683" s="3">
        <v>1896.16</v>
      </c>
      <c r="F683" s="3"/>
      <c r="G683" s="3">
        <v>2092.15</v>
      </c>
      <c r="H683" s="3">
        <f t="shared" si="49"/>
        <v>2282.3454545454547</v>
      </c>
      <c r="I683" s="3">
        <v>0</v>
      </c>
      <c r="J683" s="302">
        <v>3980.83</v>
      </c>
    </row>
    <row r="684" spans="1:10" ht="15" customHeight="1" x14ac:dyDescent="0.25">
      <c r="A684" s="2" t="s">
        <v>570</v>
      </c>
      <c r="B684" s="2" t="s">
        <v>571</v>
      </c>
      <c r="C684" s="3">
        <v>8902.5</v>
      </c>
      <c r="D684" s="3">
        <v>0</v>
      </c>
      <c r="E684" s="3">
        <v>11565</v>
      </c>
      <c r="F684" s="3"/>
      <c r="G684" s="3">
        <v>11565</v>
      </c>
      <c r="H684" s="3">
        <f t="shared" si="49"/>
        <v>12616.363636363636</v>
      </c>
      <c r="I684" s="3">
        <v>10052</v>
      </c>
      <c r="J684" s="302">
        <f>(H684*1.055)*1.5</f>
        <v>19965.395454545454</v>
      </c>
    </row>
    <row r="685" spans="1:10" ht="15" customHeight="1" x14ac:dyDescent="0.25">
      <c r="A685" s="2" t="s">
        <v>572</v>
      </c>
      <c r="B685" s="2" t="s">
        <v>29</v>
      </c>
      <c r="C685" s="3">
        <v>68498.490000000005</v>
      </c>
      <c r="D685" s="3">
        <v>34708.81</v>
      </c>
      <c r="E685" s="3">
        <v>66646.75</v>
      </c>
      <c r="F685" s="3"/>
      <c r="G685" s="3">
        <v>75859.25</v>
      </c>
      <c r="H685" s="3">
        <f t="shared" si="49"/>
        <v>82755.545454545456</v>
      </c>
      <c r="I685" s="3">
        <v>72374.36</v>
      </c>
      <c r="J685" s="302">
        <f>76309.45+1148.22</f>
        <v>77457.67</v>
      </c>
    </row>
    <row r="686" spans="1:10" ht="15" customHeight="1" x14ac:dyDescent="0.25">
      <c r="A686" s="2" t="s">
        <v>573</v>
      </c>
      <c r="B686" s="2" t="s">
        <v>31</v>
      </c>
      <c r="C686" s="3">
        <v>9007.59</v>
      </c>
      <c r="D686" s="3">
        <v>2886.79</v>
      </c>
      <c r="E686" s="3">
        <v>6276.55</v>
      </c>
      <c r="F686" s="3"/>
      <c r="G686" s="3">
        <v>7021.08</v>
      </c>
      <c r="H686" s="3">
        <f t="shared" si="49"/>
        <v>7659.36</v>
      </c>
      <c r="I686" s="3">
        <v>12821.9</v>
      </c>
      <c r="J686" s="302">
        <v>7604.65</v>
      </c>
    </row>
    <row r="687" spans="1:10" ht="15" customHeight="1" x14ac:dyDescent="0.25">
      <c r="A687" s="2" t="s">
        <v>574</v>
      </c>
      <c r="B687" s="2" t="s">
        <v>33</v>
      </c>
      <c r="C687" s="3">
        <v>33849.47</v>
      </c>
      <c r="D687" s="3">
        <v>14287.66</v>
      </c>
      <c r="E687" s="3">
        <v>27239.040000000001</v>
      </c>
      <c r="F687" s="3"/>
      <c r="G687" s="3">
        <v>31061.95</v>
      </c>
      <c r="H687" s="3">
        <f t="shared" si="49"/>
        <v>33885.763636363634</v>
      </c>
      <c r="I687" s="3">
        <v>30255.61</v>
      </c>
      <c r="J687" s="302">
        <v>28863.4</v>
      </c>
    </row>
    <row r="688" spans="1:10" ht="15" customHeight="1" x14ac:dyDescent="0.25">
      <c r="A688" s="2" t="s">
        <v>575</v>
      </c>
      <c r="B688" s="2" t="s">
        <v>11</v>
      </c>
      <c r="C688" s="3">
        <v>21147.43</v>
      </c>
      <c r="D688" s="3">
        <v>9969.6200000000008</v>
      </c>
      <c r="E688" s="3">
        <v>20328.82</v>
      </c>
      <c r="F688" s="3"/>
      <c r="G688" s="3">
        <v>22950.46</v>
      </c>
      <c r="H688" s="3">
        <f t="shared" si="49"/>
        <v>25036.865454545456</v>
      </c>
      <c r="I688" s="3">
        <v>25895.99</v>
      </c>
      <c r="J688" s="302">
        <v>24799.33</v>
      </c>
    </row>
    <row r="689" spans="1:10" ht="15" customHeight="1" x14ac:dyDescent="0.25">
      <c r="A689" s="2" t="s">
        <v>576</v>
      </c>
      <c r="B689" s="2" t="s">
        <v>577</v>
      </c>
      <c r="C689" s="3">
        <v>110.14</v>
      </c>
      <c r="D689" s="3">
        <v>11.72</v>
      </c>
      <c r="E689" s="3">
        <v>33.56</v>
      </c>
      <c r="F689" s="3"/>
      <c r="G689" s="3">
        <v>36.79</v>
      </c>
      <c r="H689" s="3">
        <f t="shared" si="49"/>
        <v>40.134545454545453</v>
      </c>
      <c r="I689" s="3">
        <v>0</v>
      </c>
      <c r="J689" s="302">
        <v>76.239999999999995</v>
      </c>
    </row>
    <row r="690" spans="1:10" ht="15" customHeight="1" x14ac:dyDescent="0.25">
      <c r="A690" s="2" t="s">
        <v>578</v>
      </c>
      <c r="B690" s="2" t="s">
        <v>579</v>
      </c>
      <c r="C690" s="3">
        <v>631.47</v>
      </c>
      <c r="D690" s="3">
        <v>69.81</v>
      </c>
      <c r="E690" s="3">
        <v>226.21</v>
      </c>
      <c r="F690" s="3"/>
      <c r="G690" s="3">
        <v>250.8</v>
      </c>
      <c r="H690" s="3">
        <f t="shared" si="49"/>
        <v>273.60000000000002</v>
      </c>
      <c r="I690" s="3">
        <v>0</v>
      </c>
      <c r="J690" s="302">
        <v>413.61</v>
      </c>
    </row>
    <row r="691" spans="1:10" ht="15" customHeight="1" x14ac:dyDescent="0.25">
      <c r="A691" s="2" t="s">
        <v>580</v>
      </c>
      <c r="B691" s="2" t="s">
        <v>581</v>
      </c>
      <c r="C691" s="3">
        <v>368</v>
      </c>
      <c r="D691" s="3">
        <v>43.18</v>
      </c>
      <c r="E691" s="3">
        <v>141.62</v>
      </c>
      <c r="F691" s="3"/>
      <c r="G691" s="3">
        <v>156.35</v>
      </c>
      <c r="H691" s="3">
        <f t="shared" si="49"/>
        <v>170.56363636363636</v>
      </c>
      <c r="I691" s="3">
        <v>0</v>
      </c>
      <c r="J691" s="302">
        <v>304.52999999999997</v>
      </c>
    </row>
    <row r="692" spans="1:10" ht="15" customHeight="1" x14ac:dyDescent="0.25">
      <c r="A692" s="2" t="s">
        <v>582</v>
      </c>
      <c r="B692" s="2" t="s">
        <v>13</v>
      </c>
      <c r="C692" s="3">
        <v>419.3</v>
      </c>
      <c r="D692" s="3">
        <v>288.32</v>
      </c>
      <c r="E692" s="3">
        <v>586.92999999999995</v>
      </c>
      <c r="F692" s="3"/>
      <c r="G692" s="3">
        <v>643.48</v>
      </c>
      <c r="H692" s="3">
        <f t="shared" si="49"/>
        <v>701.97818181818184</v>
      </c>
      <c r="I692" s="3">
        <v>497.61</v>
      </c>
      <c r="J692" s="302">
        <f>710.23+8.71</f>
        <v>718.94</v>
      </c>
    </row>
    <row r="693" spans="1:10" ht="15" customHeight="1" x14ac:dyDescent="0.25">
      <c r="A693" s="2" t="s">
        <v>583</v>
      </c>
      <c r="B693" s="2" t="s">
        <v>458</v>
      </c>
      <c r="C693" s="3">
        <v>1066.9000000000001</v>
      </c>
      <c r="D693" s="3">
        <v>231.72</v>
      </c>
      <c r="E693" s="3">
        <v>254.78</v>
      </c>
      <c r="F693" s="3"/>
      <c r="G693" s="3">
        <v>426.24</v>
      </c>
      <c r="H693" s="3">
        <f t="shared" si="49"/>
        <v>464.98909090909092</v>
      </c>
      <c r="I693" s="3">
        <v>1104.33</v>
      </c>
      <c r="J693" s="302">
        <v>1152.9100000000001</v>
      </c>
    </row>
    <row r="694" spans="1:10" ht="15" customHeight="1" x14ac:dyDescent="0.25">
      <c r="A694" s="2" t="s">
        <v>584</v>
      </c>
      <c r="B694" s="2" t="s">
        <v>585</v>
      </c>
      <c r="C694" s="3">
        <v>75</v>
      </c>
      <c r="D694" s="3">
        <v>0</v>
      </c>
      <c r="E694" s="3">
        <v>124.94</v>
      </c>
      <c r="F694" s="3"/>
      <c r="G694" s="3">
        <v>135.63</v>
      </c>
      <c r="H694" s="3">
        <f t="shared" si="49"/>
        <v>147.96</v>
      </c>
      <c r="I694" s="3">
        <v>0</v>
      </c>
      <c r="J694" s="302">
        <v>150</v>
      </c>
    </row>
    <row r="695" spans="1:10" ht="15" customHeight="1" x14ac:dyDescent="0.25">
      <c r="A695" s="2" t="s">
        <v>586</v>
      </c>
      <c r="B695" s="2" t="s">
        <v>587</v>
      </c>
      <c r="C695" s="3">
        <v>4453.3999999999996</v>
      </c>
      <c r="D695" s="3">
        <v>0</v>
      </c>
      <c r="E695" s="3">
        <v>0</v>
      </c>
      <c r="F695" s="3"/>
      <c r="G695" s="3">
        <v>0</v>
      </c>
      <c r="H695" s="3">
        <f t="shared" si="49"/>
        <v>0</v>
      </c>
      <c r="I695" s="3">
        <v>5000</v>
      </c>
      <c r="J695" s="5">
        <v>5000</v>
      </c>
    </row>
    <row r="696" spans="1:10" ht="15" customHeight="1" x14ac:dyDescent="0.25">
      <c r="A696" s="2" t="s">
        <v>588</v>
      </c>
      <c r="B696" s="2" t="s">
        <v>589</v>
      </c>
      <c r="C696" s="3">
        <v>0</v>
      </c>
      <c r="D696" s="3">
        <v>0</v>
      </c>
      <c r="E696" s="3">
        <v>0</v>
      </c>
      <c r="F696" s="3"/>
      <c r="G696" s="3">
        <v>0</v>
      </c>
      <c r="H696" s="3">
        <f t="shared" si="49"/>
        <v>0</v>
      </c>
      <c r="I696" s="3">
        <v>500</v>
      </c>
      <c r="J696" s="5">
        <v>500</v>
      </c>
    </row>
    <row r="697" spans="1:10" ht="15" customHeight="1" x14ac:dyDescent="0.25">
      <c r="A697" s="2" t="s">
        <v>590</v>
      </c>
      <c r="B697" s="2" t="s">
        <v>591</v>
      </c>
      <c r="C697" s="3">
        <v>967.54</v>
      </c>
      <c r="D697" s="3">
        <v>29.31</v>
      </c>
      <c r="E697" s="3">
        <v>29.31</v>
      </c>
      <c r="F697" s="3"/>
      <c r="G697" s="3">
        <v>752.53</v>
      </c>
      <c r="H697" s="3">
        <f t="shared" si="49"/>
        <v>820.94181818181812</v>
      </c>
      <c r="I697" s="3">
        <v>1000</v>
      </c>
      <c r="J697" s="5">
        <v>1000</v>
      </c>
    </row>
    <row r="698" spans="1:10" ht="15" customHeight="1" x14ac:dyDescent="0.25">
      <c r="A698" s="2" t="s">
        <v>592</v>
      </c>
      <c r="B698" s="2" t="s">
        <v>593</v>
      </c>
      <c r="C698" s="3">
        <v>50178.09</v>
      </c>
      <c r="D698" s="3">
        <v>15955.66</v>
      </c>
      <c r="E698" s="3">
        <v>32752.25</v>
      </c>
      <c r="F698" s="3"/>
      <c r="G698" s="3">
        <v>49783.64</v>
      </c>
      <c r="H698" s="3">
        <f t="shared" si="49"/>
        <v>54309.425454545461</v>
      </c>
      <c r="I698" s="3">
        <v>50000</v>
      </c>
      <c r="J698" s="5">
        <v>55000</v>
      </c>
    </row>
    <row r="699" spans="1:10" ht="15" customHeight="1" x14ac:dyDescent="0.25">
      <c r="A699" s="2" t="s">
        <v>594</v>
      </c>
      <c r="B699" s="2" t="s">
        <v>595</v>
      </c>
      <c r="C699" s="3">
        <v>0</v>
      </c>
      <c r="D699" s="3">
        <v>0</v>
      </c>
      <c r="E699" s="3">
        <v>0</v>
      </c>
      <c r="F699" s="3"/>
      <c r="G699" s="3">
        <v>0</v>
      </c>
      <c r="H699" s="3">
        <f t="shared" si="49"/>
        <v>0</v>
      </c>
      <c r="I699" s="3">
        <v>2500</v>
      </c>
      <c r="J699" s="5">
        <v>0</v>
      </c>
    </row>
    <row r="700" spans="1:10" ht="15" customHeight="1" x14ac:dyDescent="0.25">
      <c r="A700" s="2" t="s">
        <v>596</v>
      </c>
      <c r="B700" s="2" t="s">
        <v>462</v>
      </c>
      <c r="C700" s="3">
        <v>547</v>
      </c>
      <c r="D700" s="3">
        <v>0</v>
      </c>
      <c r="E700" s="3">
        <v>0</v>
      </c>
      <c r="F700" s="3"/>
      <c r="G700" s="3">
        <v>0</v>
      </c>
      <c r="H700" s="3">
        <f t="shared" si="49"/>
        <v>0</v>
      </c>
      <c r="I700" s="3">
        <v>2000</v>
      </c>
      <c r="J700" s="5">
        <v>2000</v>
      </c>
    </row>
    <row r="701" spans="1:10" x14ac:dyDescent="0.25">
      <c r="A701" s="2" t="s">
        <v>597</v>
      </c>
      <c r="B701" s="2" t="s">
        <v>598</v>
      </c>
      <c r="C701" s="3">
        <v>17660.71</v>
      </c>
      <c r="D701" s="3">
        <v>16574.75</v>
      </c>
      <c r="E701" s="3">
        <v>16574.75</v>
      </c>
      <c r="F701" s="3"/>
      <c r="G701" s="3">
        <v>15193.53</v>
      </c>
      <c r="H701" s="3">
        <f t="shared" si="49"/>
        <v>16574.760000000002</v>
      </c>
      <c r="I701" s="3">
        <v>16574.75</v>
      </c>
      <c r="J701" s="5">
        <f>+Equipment!$C$14</f>
        <v>17660.705614864863</v>
      </c>
    </row>
    <row r="702" spans="1:10" x14ac:dyDescent="0.25">
      <c r="A702" s="2" t="s">
        <v>599</v>
      </c>
      <c r="B702" s="2" t="s">
        <v>15</v>
      </c>
      <c r="C702" s="3">
        <v>1513.37</v>
      </c>
      <c r="D702" s="3">
        <v>1265.71</v>
      </c>
      <c r="E702" s="3">
        <v>1265.71</v>
      </c>
      <c r="F702" s="3"/>
      <c r="G702" s="3">
        <v>1160.24</v>
      </c>
      <c r="H702" s="3">
        <f t="shared" si="49"/>
        <v>1265.7163636363637</v>
      </c>
      <c r="I702" s="3">
        <v>1265.71</v>
      </c>
      <c r="J702" s="5">
        <f>'Computer '!$D$16</f>
        <v>1513.3699053586063</v>
      </c>
    </row>
    <row r="703" spans="1:10" ht="15" customHeight="1" x14ac:dyDescent="0.25">
      <c r="A703" s="2" t="s">
        <v>600</v>
      </c>
      <c r="B703" s="2" t="s">
        <v>601</v>
      </c>
      <c r="C703" s="3">
        <v>0</v>
      </c>
      <c r="D703" s="3">
        <v>0</v>
      </c>
      <c r="E703" s="3">
        <v>298.67</v>
      </c>
      <c r="F703" s="3"/>
      <c r="G703" s="3">
        <v>298.67</v>
      </c>
      <c r="H703" s="3">
        <f t="shared" si="49"/>
        <v>325.82181818181817</v>
      </c>
      <c r="I703" s="3">
        <v>1500</v>
      </c>
      <c r="J703" s="5">
        <v>1500</v>
      </c>
    </row>
    <row r="704" spans="1:10" ht="15" customHeight="1" x14ac:dyDescent="0.25">
      <c r="A704" s="2" t="s">
        <v>602</v>
      </c>
      <c r="B704" s="2" t="s">
        <v>95</v>
      </c>
      <c r="C704" s="3">
        <v>12116.76</v>
      </c>
      <c r="D704" s="3">
        <v>1269.56</v>
      </c>
      <c r="E704" s="3">
        <v>1726.52</v>
      </c>
      <c r="F704" s="3"/>
      <c r="G704" s="3">
        <v>2036.6</v>
      </c>
      <c r="H704" s="3">
        <f t="shared" si="49"/>
        <v>2221.7454545454543</v>
      </c>
      <c r="I704" s="3">
        <v>10000</v>
      </c>
      <c r="J704" s="5">
        <v>10000</v>
      </c>
    </row>
    <row r="705" spans="1:11" ht="15" customHeight="1" x14ac:dyDescent="0.25">
      <c r="A705" s="2" t="s">
        <v>603</v>
      </c>
      <c r="B705" s="2" t="s">
        <v>604</v>
      </c>
      <c r="C705" s="3">
        <v>1355.38</v>
      </c>
      <c r="D705" s="3">
        <v>0</v>
      </c>
      <c r="E705" s="3">
        <v>0</v>
      </c>
      <c r="F705" s="3"/>
      <c r="G705" s="3">
        <v>0</v>
      </c>
      <c r="H705" s="3">
        <f t="shared" si="49"/>
        <v>0</v>
      </c>
      <c r="I705" s="3">
        <v>0</v>
      </c>
      <c r="J705" s="5">
        <v>0</v>
      </c>
    </row>
    <row r="706" spans="1:11" ht="15" customHeight="1" x14ac:dyDescent="0.25">
      <c r="A706" s="2" t="s">
        <v>605</v>
      </c>
      <c r="B706" s="2" t="s">
        <v>606</v>
      </c>
      <c r="C706" s="3">
        <v>4506.8599999999997</v>
      </c>
      <c r="D706" s="3">
        <v>1619.76</v>
      </c>
      <c r="E706" s="3">
        <v>3244.02</v>
      </c>
      <c r="F706" s="3"/>
      <c r="G706" s="3">
        <v>4195.03</v>
      </c>
      <c r="H706" s="3">
        <f t="shared" si="49"/>
        <v>4576.3963636363633</v>
      </c>
      <c r="I706" s="3">
        <v>3100</v>
      </c>
      <c r="J706" s="5">
        <f>Phone!$C$13</f>
        <v>5000</v>
      </c>
    </row>
    <row r="707" spans="1:11" ht="15" customHeight="1" x14ac:dyDescent="0.25">
      <c r="A707" s="2" t="s">
        <v>607</v>
      </c>
      <c r="B707" s="2" t="s">
        <v>17</v>
      </c>
      <c r="C707" s="3">
        <v>0</v>
      </c>
      <c r="D707" s="3">
        <v>0</v>
      </c>
      <c r="E707" s="3">
        <v>0</v>
      </c>
      <c r="F707" s="3"/>
      <c r="G707" s="3">
        <v>0</v>
      </c>
      <c r="H707" s="3">
        <f t="shared" si="49"/>
        <v>0</v>
      </c>
      <c r="I707" s="3">
        <v>0</v>
      </c>
      <c r="J707" s="5">
        <v>0</v>
      </c>
    </row>
    <row r="708" spans="1:11" ht="15" customHeight="1" x14ac:dyDescent="0.25">
      <c r="A708" s="2" t="s">
        <v>608</v>
      </c>
      <c r="B708" s="2" t="s">
        <v>144</v>
      </c>
      <c r="C708" s="3">
        <v>185</v>
      </c>
      <c r="D708" s="3">
        <v>0</v>
      </c>
      <c r="E708" s="3">
        <v>0</v>
      </c>
      <c r="F708" s="3"/>
      <c r="G708" s="3">
        <v>0</v>
      </c>
      <c r="H708" s="3">
        <f t="shared" si="49"/>
        <v>0</v>
      </c>
      <c r="I708" s="3">
        <v>1200</v>
      </c>
      <c r="J708" s="5">
        <v>1200</v>
      </c>
    </row>
    <row r="709" spans="1:11" ht="15" customHeight="1" x14ac:dyDescent="0.25">
      <c r="A709" s="2" t="s">
        <v>609</v>
      </c>
      <c r="B709" s="2" t="s">
        <v>305</v>
      </c>
      <c r="C709" s="3">
        <v>26712.85</v>
      </c>
      <c r="D709" s="3">
        <v>3138.66</v>
      </c>
      <c r="E709" s="3">
        <v>27374.7</v>
      </c>
      <c r="F709" s="3"/>
      <c r="G709" s="3">
        <v>27970.74</v>
      </c>
      <c r="H709" s="3">
        <f t="shared" si="49"/>
        <v>30513.534545454546</v>
      </c>
      <c r="I709" s="3">
        <v>21000</v>
      </c>
      <c r="J709" s="5">
        <f>H709*1.1482</f>
        <v>35035.640365090912</v>
      </c>
    </row>
    <row r="710" spans="1:11" ht="15" customHeight="1" x14ac:dyDescent="0.25">
      <c r="A710" s="2" t="s">
        <v>610</v>
      </c>
      <c r="B710" s="2" t="s">
        <v>611</v>
      </c>
      <c r="C710" s="3">
        <v>7205.2</v>
      </c>
      <c r="D710" s="3">
        <v>5930.55</v>
      </c>
      <c r="E710" s="3">
        <v>7288.39</v>
      </c>
      <c r="F710" s="3"/>
      <c r="G710" s="3">
        <v>7860.41</v>
      </c>
      <c r="H710" s="3">
        <f t="shared" si="49"/>
        <v>8574.9927272727273</v>
      </c>
      <c r="I710" s="3">
        <v>9200</v>
      </c>
      <c r="J710" s="5">
        <f>H710*1.2956</f>
        <v>11109.760577454546</v>
      </c>
    </row>
    <row r="711" spans="1:11" ht="15" customHeight="1" x14ac:dyDescent="0.25">
      <c r="A711" s="2" t="s">
        <v>612</v>
      </c>
      <c r="B711" s="2" t="s">
        <v>613</v>
      </c>
      <c r="C711" s="3">
        <v>32997.040000000001</v>
      </c>
      <c r="D711" s="3">
        <v>6886.5</v>
      </c>
      <c r="E711" s="3">
        <v>16194.62</v>
      </c>
      <c r="F711" s="3"/>
      <c r="G711" s="3">
        <v>21219.51</v>
      </c>
      <c r="H711" s="3">
        <f t="shared" si="49"/>
        <v>23148.556363636362</v>
      </c>
      <c r="I711" s="3">
        <v>20000</v>
      </c>
      <c r="J711" s="5">
        <v>35000</v>
      </c>
    </row>
    <row r="712" spans="1:11" ht="15" customHeight="1" x14ac:dyDescent="0.25">
      <c r="A712" s="2" t="s">
        <v>614</v>
      </c>
      <c r="B712" s="2" t="s">
        <v>615</v>
      </c>
      <c r="C712" s="3">
        <v>4186.3100000000004</v>
      </c>
      <c r="D712" s="3">
        <v>1501.61</v>
      </c>
      <c r="E712" s="3">
        <v>1501.61</v>
      </c>
      <c r="F712" s="3"/>
      <c r="G712" s="3">
        <v>3807.63</v>
      </c>
      <c r="H712" s="3">
        <f t="shared" si="49"/>
        <v>4153.778181818182</v>
      </c>
      <c r="I712" s="3">
        <v>2500</v>
      </c>
      <c r="J712" s="5">
        <v>5000</v>
      </c>
    </row>
    <row r="713" spans="1:11" x14ac:dyDescent="0.25">
      <c r="A713" s="2" t="s">
        <v>616</v>
      </c>
      <c r="B713" s="2" t="s">
        <v>617</v>
      </c>
      <c r="C713" s="3">
        <v>736.3</v>
      </c>
      <c r="D713" s="3">
        <v>270.3</v>
      </c>
      <c r="E713" s="3">
        <v>970.68</v>
      </c>
      <c r="F713" s="3"/>
      <c r="G713" s="3">
        <v>970.68</v>
      </c>
      <c r="H713" s="3">
        <f t="shared" si="49"/>
        <v>1058.9236363636362</v>
      </c>
      <c r="I713" s="3">
        <v>1000</v>
      </c>
      <c r="J713" s="5">
        <v>1000</v>
      </c>
    </row>
    <row r="714" spans="1:11" ht="15" customHeight="1" x14ac:dyDescent="0.25">
      <c r="A714" s="2" t="s">
        <v>618</v>
      </c>
      <c r="B714" s="2" t="s">
        <v>619</v>
      </c>
      <c r="C714" s="3">
        <v>0</v>
      </c>
      <c r="D714" s="3">
        <v>0</v>
      </c>
      <c r="E714" s="3">
        <v>0</v>
      </c>
      <c r="F714" s="3"/>
      <c r="G714" s="3">
        <v>0</v>
      </c>
      <c r="H714" s="3">
        <f t="shared" si="49"/>
        <v>0</v>
      </c>
      <c r="I714" s="3">
        <v>1500</v>
      </c>
      <c r="J714" s="5">
        <v>1500</v>
      </c>
    </row>
    <row r="715" spans="1:11" x14ac:dyDescent="0.25">
      <c r="A715" s="2" t="s">
        <v>620</v>
      </c>
      <c r="B715" s="2" t="s">
        <v>621</v>
      </c>
      <c r="C715" s="3">
        <v>0</v>
      </c>
      <c r="D715" s="3">
        <v>0</v>
      </c>
      <c r="E715" s="3">
        <v>0</v>
      </c>
      <c r="F715" s="3"/>
      <c r="G715" s="3">
        <v>0</v>
      </c>
      <c r="H715" s="3">
        <f t="shared" si="49"/>
        <v>0</v>
      </c>
      <c r="I715" s="3">
        <v>1000</v>
      </c>
      <c r="J715" s="5">
        <v>1000</v>
      </c>
    </row>
    <row r="716" spans="1:11" ht="15" customHeight="1" x14ac:dyDescent="0.25">
      <c r="A716" s="2" t="s">
        <v>622</v>
      </c>
      <c r="B716" s="2" t="s">
        <v>64</v>
      </c>
      <c r="C716" s="3">
        <v>751.96</v>
      </c>
      <c r="D716" s="3">
        <v>194.21</v>
      </c>
      <c r="E716" s="3">
        <v>463.32</v>
      </c>
      <c r="F716" s="3"/>
      <c r="G716" s="3">
        <v>501.1</v>
      </c>
      <c r="H716" s="3">
        <f t="shared" si="49"/>
        <v>546.65454545454543</v>
      </c>
      <c r="I716" s="3">
        <v>2500</v>
      </c>
      <c r="J716" s="5">
        <v>2500</v>
      </c>
    </row>
    <row r="717" spans="1:11" ht="15" customHeight="1" x14ac:dyDescent="0.25">
      <c r="A717" s="2" t="s">
        <v>623</v>
      </c>
      <c r="B717" s="2" t="s">
        <v>624</v>
      </c>
      <c r="C717" s="3">
        <v>0</v>
      </c>
      <c r="D717" s="3">
        <v>0</v>
      </c>
      <c r="E717" s="3">
        <v>195.65</v>
      </c>
      <c r="F717" s="3"/>
      <c r="G717" s="3">
        <v>195.65</v>
      </c>
      <c r="H717" s="3">
        <f t="shared" si="49"/>
        <v>213.43636363636364</v>
      </c>
      <c r="I717" s="3">
        <v>1000</v>
      </c>
      <c r="J717" s="5">
        <v>1000</v>
      </c>
    </row>
    <row r="718" spans="1:11" ht="15" customHeight="1" x14ac:dyDescent="0.25">
      <c r="A718" s="2" t="s">
        <v>625</v>
      </c>
      <c r="B718" s="2" t="s">
        <v>626</v>
      </c>
      <c r="C718" s="3">
        <v>244.5</v>
      </c>
      <c r="D718" s="3">
        <v>0</v>
      </c>
      <c r="E718" s="3">
        <v>0</v>
      </c>
      <c r="F718" s="3"/>
      <c r="G718" s="3">
        <v>0</v>
      </c>
      <c r="H718" s="3">
        <f t="shared" si="49"/>
        <v>0</v>
      </c>
      <c r="I718" s="3">
        <v>0</v>
      </c>
      <c r="J718" s="5">
        <v>500</v>
      </c>
    </row>
    <row r="719" spans="1:11" ht="15" customHeight="1" x14ac:dyDescent="0.25">
      <c r="A719" s="2" t="s">
        <v>627</v>
      </c>
      <c r="B719" s="2" t="s">
        <v>628</v>
      </c>
      <c r="C719" s="3">
        <v>17224.09</v>
      </c>
      <c r="D719" s="3">
        <v>5588.71</v>
      </c>
      <c r="E719" s="3">
        <v>22350.82</v>
      </c>
      <c r="F719" s="3"/>
      <c r="G719" s="3">
        <v>22350.82</v>
      </c>
      <c r="H719" s="3">
        <f t="shared" si="49"/>
        <v>24382.712727272727</v>
      </c>
      <c r="I719" s="3">
        <v>23000</v>
      </c>
      <c r="J719" s="5">
        <v>29000</v>
      </c>
      <c r="K719" s="250" t="s">
        <v>4068</v>
      </c>
    </row>
    <row r="720" spans="1:11" ht="15" customHeight="1" x14ac:dyDescent="0.25">
      <c r="A720" s="1" t="s">
        <v>4</v>
      </c>
      <c r="B720" s="1" t="s">
        <v>2</v>
      </c>
      <c r="C720" s="4">
        <v>606780.96</v>
      </c>
      <c r="D720" s="4">
        <v>255892.22</v>
      </c>
      <c r="E720" s="4">
        <f>SUM(E680:E719)</f>
        <v>525953.25000000012</v>
      </c>
      <c r="F720" s="4"/>
      <c r="G720" s="4">
        <f>SUM(G680:G719)</f>
        <v>603773.78000000014</v>
      </c>
      <c r="H720" s="4">
        <f>SUM(H680:H719)</f>
        <v>658662.30545454542</v>
      </c>
      <c r="I720" s="6">
        <f>SUM(I680:I719)</f>
        <v>658799.98</v>
      </c>
      <c r="J720" s="6">
        <f>SUM(J680:J719)</f>
        <v>720916.88191731449</v>
      </c>
    </row>
    <row r="721" spans="1:11" x14ac:dyDescent="0.25">
      <c r="A721" s="1" t="s">
        <v>2</v>
      </c>
      <c r="B721" s="1" t="s">
        <v>2</v>
      </c>
      <c r="C721" s="1" t="s">
        <v>2</v>
      </c>
      <c r="D721" s="1" t="s">
        <v>2</v>
      </c>
      <c r="E721" s="1"/>
      <c r="F721" s="1"/>
      <c r="G721" s="1"/>
      <c r="H721" s="1"/>
      <c r="I721" s="1" t="s">
        <v>2</v>
      </c>
      <c r="J721" s="1" t="s">
        <v>2</v>
      </c>
    </row>
    <row r="722" spans="1:11" ht="15" customHeight="1" x14ac:dyDescent="0.25">
      <c r="A722" s="1" t="s">
        <v>557</v>
      </c>
      <c r="B722" s="1" t="s">
        <v>2</v>
      </c>
    </row>
    <row r="723" spans="1:11" ht="15" customHeight="1" x14ac:dyDescent="0.25">
      <c r="A723" s="2" t="s">
        <v>629</v>
      </c>
      <c r="B723" s="2" t="s">
        <v>630</v>
      </c>
      <c r="C723" s="3">
        <v>0</v>
      </c>
      <c r="D723" s="3">
        <v>0</v>
      </c>
      <c r="E723" s="3">
        <v>0</v>
      </c>
      <c r="F723" s="3"/>
      <c r="G723" s="3">
        <v>0</v>
      </c>
      <c r="H723" s="3">
        <f>G723/11*12</f>
        <v>0</v>
      </c>
      <c r="I723" s="3">
        <v>7500</v>
      </c>
      <c r="J723" s="5">
        <v>7500</v>
      </c>
    </row>
    <row r="724" spans="1:11" ht="15" customHeight="1" x14ac:dyDescent="0.25">
      <c r="A724" s="2" t="s">
        <v>631</v>
      </c>
      <c r="B724" s="2" t="s">
        <v>632</v>
      </c>
      <c r="C724" s="3">
        <v>0</v>
      </c>
      <c r="D724" s="3">
        <v>0</v>
      </c>
      <c r="E724" s="3">
        <v>0</v>
      </c>
      <c r="F724" s="3"/>
      <c r="G724" s="3">
        <v>0</v>
      </c>
      <c r="H724" s="3">
        <f t="shared" ref="H724:H729" si="50">G724/11*12</f>
        <v>0</v>
      </c>
      <c r="I724" s="3">
        <v>50000</v>
      </c>
      <c r="J724" s="5">
        <v>50000</v>
      </c>
    </row>
    <row r="725" spans="1:11" ht="15" customHeight="1" x14ac:dyDescent="0.25">
      <c r="A725" s="2" t="s">
        <v>633</v>
      </c>
      <c r="B725" s="2" t="s">
        <v>634</v>
      </c>
      <c r="C725" s="3">
        <v>266413.5</v>
      </c>
      <c r="D725" s="3">
        <v>14007.81</v>
      </c>
      <c r="E725" s="3">
        <v>14007.81</v>
      </c>
      <c r="F725" s="3"/>
      <c r="G725" s="3">
        <v>14007.81</v>
      </c>
      <c r="H725" s="3">
        <f t="shared" si="50"/>
        <v>15281.247272727273</v>
      </c>
      <c r="I725" s="3">
        <v>0</v>
      </c>
      <c r="J725" s="5">
        <v>0</v>
      </c>
    </row>
    <row r="726" spans="1:11" ht="15" customHeight="1" x14ac:dyDescent="0.25">
      <c r="A726" s="2" t="s">
        <v>635</v>
      </c>
      <c r="B726" s="2" t="s">
        <v>636</v>
      </c>
      <c r="C726" s="3">
        <v>0</v>
      </c>
      <c r="D726" s="3">
        <v>0</v>
      </c>
      <c r="E726" s="3">
        <v>0</v>
      </c>
      <c r="F726" s="3"/>
      <c r="G726" s="3">
        <v>0</v>
      </c>
      <c r="H726" s="3">
        <f t="shared" si="50"/>
        <v>0</v>
      </c>
      <c r="I726" s="3">
        <v>5000</v>
      </c>
      <c r="J726" s="5">
        <v>5000</v>
      </c>
    </row>
    <row r="727" spans="1:11" ht="15" customHeight="1" x14ac:dyDescent="0.25">
      <c r="A727" s="2" t="s">
        <v>637</v>
      </c>
      <c r="B727" s="2" t="s">
        <v>638</v>
      </c>
      <c r="C727" s="3">
        <v>0</v>
      </c>
      <c r="D727" s="3">
        <v>0</v>
      </c>
      <c r="E727" s="3">
        <v>0</v>
      </c>
      <c r="F727" s="3"/>
      <c r="G727" s="3">
        <v>0</v>
      </c>
      <c r="H727" s="3">
        <f t="shared" si="50"/>
        <v>0</v>
      </c>
      <c r="I727" s="3">
        <v>0</v>
      </c>
      <c r="J727" s="5">
        <v>0</v>
      </c>
    </row>
    <row r="728" spans="1:11" ht="15" customHeight="1" x14ac:dyDescent="0.25">
      <c r="A728" s="2" t="s">
        <v>639</v>
      </c>
      <c r="B728" s="2" t="s">
        <v>640</v>
      </c>
      <c r="C728" s="3">
        <v>0</v>
      </c>
      <c r="D728" s="3">
        <v>0</v>
      </c>
      <c r="E728" s="3">
        <v>0</v>
      </c>
      <c r="F728" s="3"/>
      <c r="G728" s="3">
        <v>3746.72</v>
      </c>
      <c r="H728" s="3">
        <f t="shared" si="50"/>
        <v>4087.3309090909088</v>
      </c>
      <c r="I728" s="3">
        <v>5000</v>
      </c>
      <c r="J728" s="5">
        <v>5000</v>
      </c>
    </row>
    <row r="729" spans="1:11" ht="15" customHeight="1" x14ac:dyDescent="0.25">
      <c r="A729" s="2" t="s">
        <v>641</v>
      </c>
      <c r="B729" s="2" t="s">
        <v>642</v>
      </c>
      <c r="C729" s="3">
        <v>25406.22</v>
      </c>
      <c r="D729" s="3">
        <v>0</v>
      </c>
      <c r="E729" s="3">
        <v>0</v>
      </c>
      <c r="F729" s="3"/>
      <c r="G729" s="3">
        <v>0</v>
      </c>
      <c r="H729" s="3">
        <f t="shared" si="50"/>
        <v>0</v>
      </c>
      <c r="I729" s="3">
        <v>0</v>
      </c>
      <c r="J729" s="5">
        <v>0</v>
      </c>
    </row>
    <row r="730" spans="1:11" ht="15" customHeight="1" x14ac:dyDescent="0.25">
      <c r="A730" s="2" t="s">
        <v>3419</v>
      </c>
      <c r="B730" s="2" t="s">
        <v>4101</v>
      </c>
      <c r="C730" s="3"/>
      <c r="D730" s="3"/>
      <c r="E730" s="3"/>
      <c r="F730" s="3"/>
      <c r="G730" s="3"/>
      <c r="H730" s="3"/>
      <c r="I730" s="3">
        <v>0</v>
      </c>
      <c r="J730" s="5">
        <v>385000</v>
      </c>
      <c r="K730" s="243" t="s">
        <v>4181</v>
      </c>
    </row>
    <row r="731" spans="1:11" ht="15" customHeight="1" x14ac:dyDescent="0.25">
      <c r="A731" s="1" t="s">
        <v>560</v>
      </c>
      <c r="B731" s="1" t="s">
        <v>2</v>
      </c>
      <c r="C731" s="4">
        <v>291819.71999999997</v>
      </c>
      <c r="D731" s="4">
        <v>14007.81</v>
      </c>
      <c r="E731" s="4">
        <f>SUM(E723:E729)</f>
        <v>14007.81</v>
      </c>
      <c r="F731" s="4"/>
      <c r="G731" s="4">
        <f t="shared" ref="G731" si="51">SUM(G723:G729)</f>
        <v>17754.53</v>
      </c>
      <c r="H731" s="4">
        <f>SUM(H723:H729)</f>
        <v>19368.578181818182</v>
      </c>
      <c r="I731" s="6">
        <f>SUM(I723:I730)</f>
        <v>67500</v>
      </c>
      <c r="J731" s="6">
        <f>SUM(J723:J730)</f>
        <v>452500</v>
      </c>
    </row>
    <row r="732" spans="1:11" x14ac:dyDescent="0.25">
      <c r="A732" s="1" t="s">
        <v>2</v>
      </c>
      <c r="B732" s="1" t="s">
        <v>2</v>
      </c>
      <c r="C732" s="1" t="s">
        <v>2</v>
      </c>
      <c r="D732" s="1" t="s">
        <v>2</v>
      </c>
      <c r="E732" s="1"/>
      <c r="F732" s="1"/>
      <c r="G732" s="1"/>
      <c r="H732" s="1"/>
      <c r="I732" s="1" t="s">
        <v>2</v>
      </c>
      <c r="J732" s="1" t="s">
        <v>2</v>
      </c>
    </row>
    <row r="733" spans="1:11" x14ac:dyDescent="0.25">
      <c r="A733" s="1" t="s">
        <v>643</v>
      </c>
      <c r="B733" s="1" t="s">
        <v>2</v>
      </c>
      <c r="C733" s="6">
        <v>898600.68</v>
      </c>
      <c r="D733" s="6">
        <v>269900.03000000003</v>
      </c>
      <c r="E733" s="6">
        <f>E720+E731</f>
        <v>539961.06000000017</v>
      </c>
      <c r="F733" s="6"/>
      <c r="G733" s="6">
        <f>G720+G731</f>
        <v>621528.31000000017</v>
      </c>
      <c r="H733" s="6">
        <f>H720+H731</f>
        <v>678030.88363636355</v>
      </c>
      <c r="I733" s="6">
        <f>I720+I731</f>
        <v>726299.98</v>
      </c>
      <c r="J733" s="6">
        <f>J720+J731</f>
        <v>1173416.8819173146</v>
      </c>
    </row>
    <row r="734" spans="1:11" x14ac:dyDescent="0.25">
      <c r="A734" s="1" t="s">
        <v>2</v>
      </c>
      <c r="B734" s="1" t="s">
        <v>2</v>
      </c>
      <c r="C734" s="1" t="s">
        <v>2</v>
      </c>
      <c r="D734" s="1" t="s">
        <v>2</v>
      </c>
      <c r="E734" s="1"/>
      <c r="F734" s="1"/>
      <c r="G734" s="1"/>
      <c r="H734" s="1"/>
      <c r="I734" s="1" t="s">
        <v>2</v>
      </c>
      <c r="J734" s="1" t="s">
        <v>2</v>
      </c>
    </row>
    <row r="735" spans="1:11" ht="15" customHeight="1" x14ac:dyDescent="0.25">
      <c r="A735" s="1" t="s">
        <v>4033</v>
      </c>
      <c r="B735" s="1" t="s">
        <v>2</v>
      </c>
    </row>
    <row r="736" spans="1:11" ht="15" customHeight="1" x14ac:dyDescent="0.25">
      <c r="A736" s="2" t="s">
        <v>645</v>
      </c>
      <c r="B736" s="2" t="s">
        <v>646</v>
      </c>
      <c r="C736" s="3">
        <v>2304.4299999999998</v>
      </c>
      <c r="D736" s="3">
        <v>0</v>
      </c>
      <c r="E736" s="3">
        <v>0</v>
      </c>
      <c r="F736" s="3"/>
      <c r="G736" s="3">
        <v>0</v>
      </c>
      <c r="H736" s="3">
        <f>G736/11*12</f>
        <v>0</v>
      </c>
      <c r="I736" s="3">
        <v>2379.06</v>
      </c>
      <c r="J736" s="5">
        <v>2500</v>
      </c>
    </row>
    <row r="737" spans="1:14" ht="15" customHeight="1" x14ac:dyDescent="0.25">
      <c r="A737" s="1" t="s">
        <v>4034</v>
      </c>
      <c r="B737" s="1" t="s">
        <v>2</v>
      </c>
      <c r="C737" s="6">
        <v>2304.4299999999998</v>
      </c>
      <c r="D737" s="6">
        <v>0</v>
      </c>
      <c r="E737" s="6">
        <f>E736</f>
        <v>0</v>
      </c>
      <c r="F737" s="6"/>
      <c r="G737" s="6">
        <f>G736</f>
        <v>0</v>
      </c>
      <c r="H737" s="6">
        <f>H736</f>
        <v>0</v>
      </c>
      <c r="I737" s="6">
        <f>SUM(I736)</f>
        <v>2379.06</v>
      </c>
      <c r="J737" s="6">
        <f>SUM(J736)</f>
        <v>2500</v>
      </c>
    </row>
    <row r="738" spans="1:14" x14ac:dyDescent="0.25">
      <c r="A738" s="1" t="s">
        <v>2</v>
      </c>
      <c r="B738" s="1" t="s">
        <v>2</v>
      </c>
      <c r="C738" s="1" t="s">
        <v>2</v>
      </c>
      <c r="D738" s="1" t="s">
        <v>2</v>
      </c>
      <c r="E738" s="1"/>
      <c r="F738" s="1"/>
      <c r="G738" s="1"/>
      <c r="H738" s="1"/>
      <c r="I738" s="1" t="s">
        <v>2</v>
      </c>
      <c r="J738" s="1" t="s">
        <v>2</v>
      </c>
      <c r="N738" s="41"/>
    </row>
    <row r="739" spans="1:14" ht="15" customHeight="1" x14ac:dyDescent="0.25">
      <c r="A739" s="1" t="s">
        <v>648</v>
      </c>
      <c r="B739" s="1" t="s">
        <v>2</v>
      </c>
    </row>
    <row r="740" spans="1:14" ht="15" customHeight="1" x14ac:dyDescent="0.25">
      <c r="A740" s="2" t="s">
        <v>649</v>
      </c>
      <c r="B740" s="2" t="s">
        <v>650</v>
      </c>
      <c r="C740" s="3">
        <v>88168.97</v>
      </c>
      <c r="D740" s="3">
        <v>55208.32</v>
      </c>
      <c r="E740" s="3">
        <v>95541.64</v>
      </c>
      <c r="F740" s="3"/>
      <c r="G740" s="3">
        <v>110666.63</v>
      </c>
      <c r="H740" s="3">
        <f>G740/11*12</f>
        <v>120727.23272727273</v>
      </c>
      <c r="I740" s="3">
        <v>120000</v>
      </c>
      <c r="J740" s="302">
        <v>131284.96</v>
      </c>
    </row>
    <row r="741" spans="1:14" ht="15" customHeight="1" x14ac:dyDescent="0.25">
      <c r="A741" s="2" t="s">
        <v>651</v>
      </c>
      <c r="B741" s="2" t="s">
        <v>652</v>
      </c>
      <c r="C741" s="3">
        <v>91935.81</v>
      </c>
      <c r="D741" s="3">
        <v>46999.040000000001</v>
      </c>
      <c r="E741" s="3">
        <v>81406.740000000005</v>
      </c>
      <c r="F741" s="3"/>
      <c r="G741" s="3">
        <v>94367.37</v>
      </c>
      <c r="H741" s="3">
        <f t="shared" ref="H741:H770" si="52">G741/11*12</f>
        <v>102946.22181818182</v>
      </c>
      <c r="I741" s="3">
        <v>100993.65</v>
      </c>
      <c r="J741" s="302">
        <f>27888.76+82673.92</f>
        <v>110562.68</v>
      </c>
    </row>
    <row r="742" spans="1:14" ht="15" customHeight="1" x14ac:dyDescent="0.25">
      <c r="A742" s="2" t="s">
        <v>653</v>
      </c>
      <c r="B742" s="2" t="s">
        <v>654</v>
      </c>
      <c r="C742" s="3">
        <v>75433.850000000006</v>
      </c>
      <c r="D742" s="3">
        <v>35429.379999999997</v>
      </c>
      <c r="E742" s="3">
        <v>62514.38</v>
      </c>
      <c r="F742" s="3"/>
      <c r="G742" s="3">
        <v>72671.25</v>
      </c>
      <c r="H742" s="3">
        <f t="shared" si="52"/>
        <v>79277.727272727279</v>
      </c>
      <c r="I742" s="3">
        <v>77414.399999999994</v>
      </c>
      <c r="J742" s="302">
        <f>86982.69+82239.6</f>
        <v>169222.29</v>
      </c>
      <c r="K742" s="250" t="s">
        <v>4069</v>
      </c>
    </row>
    <row r="743" spans="1:14" ht="15" customHeight="1" x14ac:dyDescent="0.25">
      <c r="A743" s="2" t="s">
        <v>655</v>
      </c>
      <c r="B743" s="2" t="s">
        <v>656</v>
      </c>
      <c r="C743" s="3">
        <v>74890.509999999995</v>
      </c>
      <c r="D743" s="3">
        <v>35758.06</v>
      </c>
      <c r="E743" s="3">
        <v>60153.7</v>
      </c>
      <c r="F743" s="3"/>
      <c r="G743" s="3">
        <v>69586.89</v>
      </c>
      <c r="H743" s="3">
        <f t="shared" si="52"/>
        <v>75912.970909090902</v>
      </c>
      <c r="I743" s="3">
        <v>86135.2</v>
      </c>
      <c r="J743" s="302">
        <v>90891.1</v>
      </c>
    </row>
    <row r="744" spans="1:14" x14ac:dyDescent="0.25">
      <c r="A744" s="2" t="s">
        <v>657</v>
      </c>
      <c r="B744" s="2" t="s">
        <v>658</v>
      </c>
      <c r="C744" s="3">
        <v>0</v>
      </c>
      <c r="D744" s="3">
        <v>0</v>
      </c>
      <c r="E744" s="3">
        <v>0</v>
      </c>
      <c r="F744" s="3"/>
      <c r="G744" s="3">
        <v>0</v>
      </c>
      <c r="H744" s="3">
        <f t="shared" si="52"/>
        <v>0</v>
      </c>
      <c r="I744" s="3">
        <v>-30000</v>
      </c>
      <c r="J744" s="302">
        <f>'407 Storm Flood Control'!H118</f>
        <v>-31649.999999999996</v>
      </c>
    </row>
    <row r="745" spans="1:14" ht="15" customHeight="1" x14ac:dyDescent="0.25">
      <c r="A745" s="2" t="s">
        <v>659</v>
      </c>
      <c r="B745" s="2" t="s">
        <v>660</v>
      </c>
      <c r="C745" s="3">
        <v>0</v>
      </c>
      <c r="D745" s="3">
        <v>0</v>
      </c>
      <c r="E745" s="3">
        <v>0</v>
      </c>
      <c r="F745" s="3"/>
      <c r="G745" s="3">
        <v>0</v>
      </c>
      <c r="H745" s="3">
        <f t="shared" si="52"/>
        <v>0</v>
      </c>
      <c r="I745" s="3">
        <v>0</v>
      </c>
      <c r="J745" s="302">
        <f t="shared" ref="J745" si="53">H745*1.055</f>
        <v>0</v>
      </c>
    </row>
    <row r="746" spans="1:14" ht="15" customHeight="1" x14ac:dyDescent="0.25">
      <c r="A746" s="2" t="s">
        <v>661</v>
      </c>
      <c r="B746" s="2" t="s">
        <v>29</v>
      </c>
      <c r="C746" s="3">
        <v>67683.360000000001</v>
      </c>
      <c r="D746" s="3">
        <v>42309.16</v>
      </c>
      <c r="E746" s="3">
        <v>72506.77</v>
      </c>
      <c r="F746" s="3"/>
      <c r="G746" s="3">
        <v>83928.960000000006</v>
      </c>
      <c r="H746" s="3">
        <f t="shared" si="52"/>
        <v>91558.865454545463</v>
      </c>
      <c r="I746" s="3">
        <v>83782.84</v>
      </c>
      <c r="J746" s="302">
        <f>9281.89+90608</f>
        <v>99889.89</v>
      </c>
    </row>
    <row r="747" spans="1:14" ht="15" customHeight="1" x14ac:dyDescent="0.25">
      <c r="A747" s="2" t="s">
        <v>662</v>
      </c>
      <c r="B747" s="2" t="s">
        <v>128</v>
      </c>
      <c r="C747" s="3">
        <v>962.78</v>
      </c>
      <c r="D747" s="3">
        <v>439.12</v>
      </c>
      <c r="E747" s="3">
        <v>765.65</v>
      </c>
      <c r="F747" s="3"/>
      <c r="G747" s="3">
        <v>895.52</v>
      </c>
      <c r="H747" s="3">
        <f t="shared" si="52"/>
        <v>976.93090909090904</v>
      </c>
      <c r="I747" s="3">
        <v>1152.02</v>
      </c>
      <c r="J747" s="302">
        <f>125.71+1005.64</f>
        <v>1131.3499999999999</v>
      </c>
    </row>
    <row r="748" spans="1:14" ht="15" customHeight="1" x14ac:dyDescent="0.25">
      <c r="A748" s="2" t="s">
        <v>663</v>
      </c>
      <c r="B748" s="2" t="s">
        <v>33</v>
      </c>
      <c r="C748" s="3">
        <v>42836.13</v>
      </c>
      <c r="D748" s="3">
        <v>21457.439999999999</v>
      </c>
      <c r="E748" s="3">
        <v>37118.230000000003</v>
      </c>
      <c r="F748" s="3"/>
      <c r="G748" s="3">
        <v>43078.09</v>
      </c>
      <c r="H748" s="3">
        <f t="shared" si="52"/>
        <v>46994.28</v>
      </c>
      <c r="I748" s="3">
        <v>43832.52</v>
      </c>
      <c r="J748" s="302">
        <f>2841.94+48458.06</f>
        <v>51300</v>
      </c>
    </row>
    <row r="749" spans="1:14" ht="15" customHeight="1" x14ac:dyDescent="0.25">
      <c r="A749" s="2" t="s">
        <v>664</v>
      </c>
      <c r="B749" s="2" t="s">
        <v>11</v>
      </c>
      <c r="C749" s="3">
        <v>25048.93</v>
      </c>
      <c r="D749" s="3">
        <v>13126.84</v>
      </c>
      <c r="E749" s="3">
        <v>22684.400000000001</v>
      </c>
      <c r="F749" s="3"/>
      <c r="G749" s="3">
        <v>26294.37</v>
      </c>
      <c r="H749" s="3">
        <f t="shared" si="52"/>
        <v>28684.767272727273</v>
      </c>
      <c r="I749" s="3">
        <v>27122.560000000001</v>
      </c>
      <c r="J749" s="302">
        <f>2092.47+29975.2</f>
        <v>32067.670000000002</v>
      </c>
    </row>
    <row r="750" spans="1:14" ht="15" customHeight="1" x14ac:dyDescent="0.25">
      <c r="A750" s="2" t="s">
        <v>665</v>
      </c>
      <c r="B750" s="2" t="s">
        <v>85</v>
      </c>
      <c r="C750" s="3">
        <v>2800</v>
      </c>
      <c r="D750" s="3">
        <v>0</v>
      </c>
      <c r="E750" s="3">
        <v>0</v>
      </c>
      <c r="F750" s="3"/>
      <c r="G750" s="3">
        <v>0</v>
      </c>
      <c r="H750" s="3">
        <f t="shared" si="52"/>
        <v>0</v>
      </c>
      <c r="I750" s="3">
        <v>0</v>
      </c>
      <c r="J750" s="302">
        <f t="shared" ref="J750" si="54">H750*1.055</f>
        <v>0</v>
      </c>
    </row>
    <row r="751" spans="1:14" ht="15" customHeight="1" x14ac:dyDescent="0.25">
      <c r="A751" s="2" t="s">
        <v>666</v>
      </c>
      <c r="B751" s="2" t="s">
        <v>13</v>
      </c>
      <c r="C751" s="3">
        <v>484.77</v>
      </c>
      <c r="D751" s="3">
        <v>370.11</v>
      </c>
      <c r="E751" s="3">
        <v>638.53</v>
      </c>
      <c r="F751" s="3"/>
      <c r="G751" s="3">
        <v>715.35</v>
      </c>
      <c r="H751" s="3">
        <f t="shared" si="52"/>
        <v>780.38181818181818</v>
      </c>
      <c r="I751" s="3">
        <v>521.17999999999995</v>
      </c>
      <c r="J751" s="302">
        <f>60.78+853.88</f>
        <v>914.66</v>
      </c>
    </row>
    <row r="752" spans="1:14" ht="15" customHeight="1" x14ac:dyDescent="0.25">
      <c r="A752" s="2" t="s">
        <v>667</v>
      </c>
      <c r="B752" s="2" t="s">
        <v>668</v>
      </c>
      <c r="C752" s="3">
        <v>1325.61</v>
      </c>
      <c r="D752" s="3">
        <v>183.37</v>
      </c>
      <c r="E752" s="3">
        <v>607.17999999999995</v>
      </c>
      <c r="F752" s="3"/>
      <c r="G752" s="3">
        <v>816.55</v>
      </c>
      <c r="H752" s="3">
        <f t="shared" si="52"/>
        <v>890.78181818181815</v>
      </c>
      <c r="I752" s="3">
        <v>4000</v>
      </c>
      <c r="J752" s="5">
        <v>2000</v>
      </c>
    </row>
    <row r="753" spans="1:11" ht="15" customHeight="1" x14ac:dyDescent="0.25">
      <c r="A753" s="2" t="s">
        <v>669</v>
      </c>
      <c r="B753" s="2" t="s">
        <v>670</v>
      </c>
      <c r="C753" s="3">
        <v>240.63</v>
      </c>
      <c r="D753" s="3">
        <v>0</v>
      </c>
      <c r="E753" s="3">
        <v>0</v>
      </c>
      <c r="F753" s="3"/>
      <c r="G753" s="3">
        <v>0</v>
      </c>
      <c r="H753" s="3">
        <f t="shared" si="52"/>
        <v>0</v>
      </c>
      <c r="I753" s="3">
        <v>1000</v>
      </c>
      <c r="J753" s="5">
        <v>1000</v>
      </c>
    </row>
    <row r="754" spans="1:11" x14ac:dyDescent="0.25">
      <c r="A754" s="2" t="s">
        <v>671</v>
      </c>
      <c r="B754" s="2" t="s">
        <v>598</v>
      </c>
      <c r="C754" s="3">
        <v>977.84</v>
      </c>
      <c r="D754" s="3">
        <v>4822.92</v>
      </c>
      <c r="E754" s="3">
        <v>4822.92</v>
      </c>
      <c r="F754" s="3"/>
      <c r="G754" s="3">
        <v>4421.01</v>
      </c>
      <c r="H754" s="3">
        <f t="shared" si="52"/>
        <v>4822.92</v>
      </c>
      <c r="I754" s="3">
        <v>4822.92</v>
      </c>
      <c r="J754" s="5">
        <f>Equipment!$C$15</f>
        <v>977.84</v>
      </c>
    </row>
    <row r="755" spans="1:11" x14ac:dyDescent="0.25">
      <c r="A755" s="2" t="s">
        <v>672</v>
      </c>
      <c r="B755" s="2" t="s">
        <v>15</v>
      </c>
      <c r="C755" s="3">
        <v>25334.83</v>
      </c>
      <c r="D755" s="3">
        <v>38521.230000000003</v>
      </c>
      <c r="E755" s="3">
        <v>38521.230000000003</v>
      </c>
      <c r="F755" s="3"/>
      <c r="G755" s="3">
        <v>35311.129999999997</v>
      </c>
      <c r="H755" s="3">
        <f t="shared" si="52"/>
        <v>38521.232727272727</v>
      </c>
      <c r="I755" s="3">
        <v>38521.230000000003</v>
      </c>
      <c r="J755" s="5">
        <f>'Computer '!$D$17</f>
        <v>25334.834004308403</v>
      </c>
    </row>
    <row r="756" spans="1:11" ht="15" customHeight="1" x14ac:dyDescent="0.25">
      <c r="A756" s="2" t="s">
        <v>673</v>
      </c>
      <c r="B756" s="2" t="s">
        <v>95</v>
      </c>
      <c r="C756" s="3">
        <v>28700.11</v>
      </c>
      <c r="D756" s="3">
        <v>23370.51</v>
      </c>
      <c r="E756" s="3">
        <v>47829.96</v>
      </c>
      <c r="F756" s="3"/>
      <c r="G756" s="3">
        <v>67761.210000000006</v>
      </c>
      <c r="H756" s="3">
        <f t="shared" si="52"/>
        <v>73921.320000000007</v>
      </c>
      <c r="I756" s="3">
        <v>100000</v>
      </c>
      <c r="J756" s="5">
        <v>50000</v>
      </c>
    </row>
    <row r="757" spans="1:11" ht="15" customHeight="1" x14ac:dyDescent="0.25">
      <c r="A757" s="2" t="s">
        <v>674</v>
      </c>
      <c r="B757" s="2" t="s">
        <v>675</v>
      </c>
      <c r="C757" s="3">
        <v>7198.75</v>
      </c>
      <c r="D757" s="3">
        <v>0</v>
      </c>
      <c r="E757" s="3">
        <v>0</v>
      </c>
      <c r="F757" s="3"/>
      <c r="G757" s="3">
        <v>0</v>
      </c>
      <c r="H757" s="3">
        <f t="shared" si="52"/>
        <v>0</v>
      </c>
      <c r="I757" s="3">
        <v>0</v>
      </c>
      <c r="J757" s="5">
        <v>0</v>
      </c>
    </row>
    <row r="758" spans="1:11" ht="15" customHeight="1" x14ac:dyDescent="0.25">
      <c r="A758" s="2" t="s">
        <v>676</v>
      </c>
      <c r="B758" s="2" t="s">
        <v>677</v>
      </c>
      <c r="C758" s="3">
        <v>0</v>
      </c>
      <c r="D758" s="3">
        <v>0</v>
      </c>
      <c r="E758" s="3">
        <v>0</v>
      </c>
      <c r="F758" s="3"/>
      <c r="G758" s="3">
        <v>0</v>
      </c>
      <c r="H758" s="3">
        <f t="shared" si="52"/>
        <v>0</v>
      </c>
      <c r="I758" s="3">
        <v>0</v>
      </c>
      <c r="J758" s="5">
        <v>0</v>
      </c>
    </row>
    <row r="759" spans="1:11" ht="15" customHeight="1" x14ac:dyDescent="0.25">
      <c r="A759" s="2" t="s">
        <v>678</v>
      </c>
      <c r="B759" s="2" t="s">
        <v>679</v>
      </c>
      <c r="C759" s="3">
        <v>0</v>
      </c>
      <c r="D759" s="3">
        <v>0</v>
      </c>
      <c r="E759" s="3">
        <v>0</v>
      </c>
      <c r="F759" s="3"/>
      <c r="G759" s="3">
        <v>0</v>
      </c>
      <c r="H759" s="3">
        <f t="shared" si="52"/>
        <v>0</v>
      </c>
      <c r="I759" s="3">
        <v>20000</v>
      </c>
      <c r="J759" s="5">
        <v>30000</v>
      </c>
      <c r="K759" s="2" t="s">
        <v>4070</v>
      </c>
    </row>
    <row r="760" spans="1:11" ht="15" customHeight="1" x14ac:dyDescent="0.25">
      <c r="A760" s="2" t="s">
        <v>680</v>
      </c>
      <c r="B760" s="2" t="s">
        <v>681</v>
      </c>
      <c r="C760" s="3">
        <v>0</v>
      </c>
      <c r="D760" s="3">
        <v>0</v>
      </c>
      <c r="E760" s="3">
        <v>0</v>
      </c>
      <c r="F760" s="3"/>
      <c r="G760" s="3">
        <v>0</v>
      </c>
      <c r="H760" s="3">
        <f t="shared" si="52"/>
        <v>0</v>
      </c>
      <c r="I760" s="3">
        <v>5000</v>
      </c>
      <c r="J760" s="5">
        <v>0</v>
      </c>
    </row>
    <row r="761" spans="1:11" ht="15" customHeight="1" x14ac:dyDescent="0.25">
      <c r="A761" s="2" t="s">
        <v>682</v>
      </c>
      <c r="B761" s="2" t="s">
        <v>683</v>
      </c>
      <c r="C761" s="3">
        <v>23811.5</v>
      </c>
      <c r="D761" s="3">
        <v>6601</v>
      </c>
      <c r="E761" s="3">
        <v>14786</v>
      </c>
      <c r="F761" s="3"/>
      <c r="G761" s="3">
        <v>17348.5</v>
      </c>
      <c r="H761" s="3">
        <f t="shared" si="52"/>
        <v>18925.636363636364</v>
      </c>
      <c r="I761" s="3">
        <v>25000</v>
      </c>
      <c r="J761" s="5">
        <v>26000</v>
      </c>
    </row>
    <row r="762" spans="1:11" ht="15" customHeight="1" x14ac:dyDescent="0.25">
      <c r="A762" s="2" t="s">
        <v>684</v>
      </c>
      <c r="B762" s="2" t="s">
        <v>99</v>
      </c>
      <c r="C762" s="3">
        <v>1372.43</v>
      </c>
      <c r="D762" s="3">
        <v>477.19</v>
      </c>
      <c r="E762" s="3">
        <v>939.92</v>
      </c>
      <c r="F762" s="3"/>
      <c r="G762" s="3">
        <v>1170.56</v>
      </c>
      <c r="H762" s="3">
        <f t="shared" si="52"/>
        <v>1276.9745454545455</v>
      </c>
      <c r="I762" s="3">
        <v>2000</v>
      </c>
      <c r="J762" s="5">
        <f>Phone!$C$14</f>
        <v>2000</v>
      </c>
    </row>
    <row r="763" spans="1:11" ht="15" customHeight="1" x14ac:dyDescent="0.25">
      <c r="A763" s="2" t="s">
        <v>685</v>
      </c>
      <c r="B763" s="2" t="s">
        <v>59</v>
      </c>
      <c r="C763" s="3">
        <v>1008.96</v>
      </c>
      <c r="D763" s="3">
        <v>785.87</v>
      </c>
      <c r="E763" s="3">
        <v>1325.74</v>
      </c>
      <c r="F763" s="3"/>
      <c r="G763" s="3">
        <v>1325.74</v>
      </c>
      <c r="H763" s="3">
        <f t="shared" si="52"/>
        <v>1446.2618181818182</v>
      </c>
      <c r="I763" s="3">
        <v>2000</v>
      </c>
      <c r="J763" s="5">
        <v>2500</v>
      </c>
    </row>
    <row r="764" spans="1:11" ht="15" customHeight="1" x14ac:dyDescent="0.25">
      <c r="A764" s="2" t="s">
        <v>686</v>
      </c>
      <c r="B764" s="2" t="s">
        <v>17</v>
      </c>
      <c r="C764" s="3">
        <v>903.01</v>
      </c>
      <c r="D764" s="3">
        <v>0</v>
      </c>
      <c r="E764" s="3">
        <v>493.75</v>
      </c>
      <c r="F764" s="3"/>
      <c r="G764" s="3">
        <v>767.25</v>
      </c>
      <c r="H764" s="3">
        <f t="shared" si="52"/>
        <v>837</v>
      </c>
      <c r="I764" s="3">
        <v>6000</v>
      </c>
      <c r="J764" s="5">
        <v>6000</v>
      </c>
    </row>
    <row r="765" spans="1:11" ht="15" customHeight="1" x14ac:dyDescent="0.25">
      <c r="A765" s="2" t="s">
        <v>687</v>
      </c>
      <c r="B765" s="2" t="s">
        <v>688</v>
      </c>
      <c r="C765" s="3">
        <v>6850.25</v>
      </c>
      <c r="D765" s="3">
        <v>1205.78</v>
      </c>
      <c r="E765" s="3">
        <v>4023.85</v>
      </c>
      <c r="F765" s="3"/>
      <c r="G765" s="3">
        <v>4023.85</v>
      </c>
      <c r="H765" s="3">
        <f t="shared" si="52"/>
        <v>4389.6545454545458</v>
      </c>
      <c r="I765" s="3">
        <v>9000</v>
      </c>
      <c r="J765" s="5">
        <v>9000</v>
      </c>
    </row>
    <row r="766" spans="1:11" ht="15" customHeight="1" x14ac:dyDescent="0.25">
      <c r="A766" s="2" t="s">
        <v>689</v>
      </c>
      <c r="B766" s="2" t="s">
        <v>690</v>
      </c>
      <c r="C766" s="3">
        <v>6778.88</v>
      </c>
      <c r="D766" s="3">
        <v>2826.05</v>
      </c>
      <c r="E766" s="3">
        <v>5086.8900000000003</v>
      </c>
      <c r="F766" s="3"/>
      <c r="G766" s="3">
        <v>6217.31</v>
      </c>
      <c r="H766" s="3">
        <f t="shared" si="52"/>
        <v>6782.52</v>
      </c>
      <c r="I766" s="3">
        <v>7000</v>
      </c>
      <c r="J766" s="5">
        <v>7000</v>
      </c>
    </row>
    <row r="767" spans="1:11" ht="15" customHeight="1" x14ac:dyDescent="0.25">
      <c r="A767" s="2" t="s">
        <v>691</v>
      </c>
      <c r="B767" s="2" t="s">
        <v>692</v>
      </c>
      <c r="C767" s="3">
        <v>3143.28</v>
      </c>
      <c r="D767" s="3">
        <v>1157.68</v>
      </c>
      <c r="E767" s="3">
        <v>2204.81</v>
      </c>
      <c r="F767" s="3"/>
      <c r="G767" s="3">
        <v>2657.37</v>
      </c>
      <c r="H767" s="3">
        <f t="shared" si="52"/>
        <v>2898.949090909091</v>
      </c>
      <c r="I767" s="3">
        <v>3500</v>
      </c>
      <c r="J767" s="5">
        <v>3500</v>
      </c>
    </row>
    <row r="768" spans="1:11" ht="15" customHeight="1" x14ac:dyDescent="0.25">
      <c r="A768" s="2" t="s">
        <v>693</v>
      </c>
      <c r="B768" s="2" t="s">
        <v>472</v>
      </c>
      <c r="C768" s="3">
        <v>0</v>
      </c>
      <c r="D768" s="3">
        <v>0</v>
      </c>
      <c r="E768" s="3">
        <v>0</v>
      </c>
      <c r="F768" s="3"/>
      <c r="G768" s="3">
        <v>0</v>
      </c>
      <c r="H768" s="3">
        <f t="shared" si="52"/>
        <v>0</v>
      </c>
      <c r="I768" s="3">
        <v>0</v>
      </c>
      <c r="J768" s="5">
        <v>0</v>
      </c>
    </row>
    <row r="769" spans="1:11" ht="15" customHeight="1" x14ac:dyDescent="0.25">
      <c r="A769" s="2" t="s">
        <v>694</v>
      </c>
      <c r="B769" s="2" t="s">
        <v>64</v>
      </c>
      <c r="C769" s="3">
        <v>2504.48</v>
      </c>
      <c r="D769" s="3">
        <v>0</v>
      </c>
      <c r="E769" s="3">
        <v>0</v>
      </c>
      <c r="F769" s="3"/>
      <c r="G769" s="3">
        <v>0</v>
      </c>
      <c r="H769" s="3">
        <f t="shared" si="52"/>
        <v>0</v>
      </c>
      <c r="I769" s="3">
        <v>2500</v>
      </c>
      <c r="J769" s="5">
        <v>6500</v>
      </c>
      <c r="K769" s="267" t="s">
        <v>4071</v>
      </c>
    </row>
    <row r="770" spans="1:11" ht="15" customHeight="1" x14ac:dyDescent="0.25">
      <c r="A770" s="2" t="s">
        <v>695</v>
      </c>
      <c r="B770" s="2" t="s">
        <v>66</v>
      </c>
      <c r="C770" s="3">
        <v>1207.52</v>
      </c>
      <c r="D770" s="3">
        <v>0</v>
      </c>
      <c r="E770" s="3">
        <v>475</v>
      </c>
      <c r="F770" s="3"/>
      <c r="G770" s="3">
        <v>475</v>
      </c>
      <c r="H770" s="3">
        <f t="shared" si="52"/>
        <v>518.18181818181813</v>
      </c>
      <c r="I770" s="3">
        <v>4500</v>
      </c>
      <c r="J770" s="5">
        <v>4500</v>
      </c>
    </row>
    <row r="771" spans="1:11" ht="15" customHeight="1" x14ac:dyDescent="0.25">
      <c r="A771" s="1" t="s">
        <v>696</v>
      </c>
      <c r="B771" s="1" t="s">
        <v>2</v>
      </c>
      <c r="C771" s="4">
        <v>581603.18999999994</v>
      </c>
      <c r="D771" s="4">
        <v>331049.07</v>
      </c>
      <c r="E771" s="4">
        <f>SUM(E740:E770)</f>
        <v>554447.29000000015</v>
      </c>
      <c r="F771" s="4"/>
      <c r="G771" s="4">
        <f>SUM(G740:G770)</f>
        <v>644499.91</v>
      </c>
      <c r="H771" s="4">
        <f>SUM(H740:H770)</f>
        <v>703090.81090909091</v>
      </c>
      <c r="I771" s="6">
        <f>SUM(I740:I770)</f>
        <v>745798.52</v>
      </c>
      <c r="J771" s="6">
        <f>SUM(J740:J770)</f>
        <v>831927.27400430851</v>
      </c>
    </row>
    <row r="772" spans="1:11" x14ac:dyDescent="0.25">
      <c r="A772" s="2" t="s">
        <v>2</v>
      </c>
      <c r="B772" s="2" t="s">
        <v>2</v>
      </c>
      <c r="C772" s="2" t="s">
        <v>2</v>
      </c>
      <c r="D772" s="2" t="s">
        <v>2</v>
      </c>
      <c r="E772" s="2"/>
      <c r="F772" s="2"/>
      <c r="G772" s="2"/>
      <c r="H772" s="2"/>
      <c r="I772" s="2" t="s">
        <v>2</v>
      </c>
      <c r="J772" s="2" t="s">
        <v>2</v>
      </c>
    </row>
    <row r="773" spans="1:11" ht="15" customHeight="1" x14ac:dyDescent="0.25">
      <c r="A773" s="1" t="s">
        <v>698</v>
      </c>
      <c r="B773" s="1" t="s">
        <v>2</v>
      </c>
    </row>
    <row r="774" spans="1:11" ht="15" customHeight="1" x14ac:dyDescent="0.25">
      <c r="A774" s="2" t="s">
        <v>699</v>
      </c>
      <c r="B774" s="2" t="s">
        <v>700</v>
      </c>
      <c r="C774" s="3">
        <v>35504.239999999998</v>
      </c>
      <c r="D774" s="3">
        <v>5531</v>
      </c>
      <c r="E774" s="3">
        <v>11507.54</v>
      </c>
      <c r="F774" s="3"/>
      <c r="G774" s="3">
        <v>15061.59</v>
      </c>
      <c r="H774" s="3">
        <f>G774/11*12</f>
        <v>16430.825454545455</v>
      </c>
      <c r="I774" s="3">
        <v>13000</v>
      </c>
      <c r="J774" s="5">
        <v>12000</v>
      </c>
    </row>
    <row r="775" spans="1:11" ht="15" customHeight="1" x14ac:dyDescent="0.25">
      <c r="A775" s="2" t="s">
        <v>701</v>
      </c>
      <c r="B775" s="2" t="s">
        <v>702</v>
      </c>
      <c r="C775" s="3">
        <v>16000</v>
      </c>
      <c r="D775" s="3">
        <v>0</v>
      </c>
      <c r="E775" s="3">
        <v>0</v>
      </c>
      <c r="F775" s="3"/>
      <c r="G775" s="3">
        <v>0</v>
      </c>
      <c r="H775" s="3">
        <f t="shared" ref="H775:H776" si="55">G775/11*12</f>
        <v>0</v>
      </c>
      <c r="I775" s="3">
        <v>0</v>
      </c>
      <c r="J775" s="5">
        <v>0</v>
      </c>
    </row>
    <row r="776" spans="1:11" ht="15" customHeight="1" x14ac:dyDescent="0.25">
      <c r="A776" s="2" t="s">
        <v>703</v>
      </c>
      <c r="B776" s="2" t="s">
        <v>704</v>
      </c>
      <c r="C776" s="3">
        <v>3211.35</v>
      </c>
      <c r="D776" s="3">
        <v>5844.44</v>
      </c>
      <c r="E776" s="3">
        <v>5844.44</v>
      </c>
      <c r="F776" s="3"/>
      <c r="G776" s="3">
        <v>5844.44</v>
      </c>
      <c r="H776" s="3">
        <f t="shared" si="55"/>
        <v>6375.7527272727266</v>
      </c>
      <c r="I776" s="3">
        <v>0</v>
      </c>
      <c r="J776" s="5">
        <v>0</v>
      </c>
    </row>
    <row r="777" spans="1:11" ht="15" customHeight="1" x14ac:dyDescent="0.25">
      <c r="A777" s="1" t="s">
        <v>705</v>
      </c>
      <c r="B777" s="1" t="s">
        <v>2</v>
      </c>
      <c r="C777" s="4">
        <v>54715.59</v>
      </c>
      <c r="D777" s="4">
        <v>11375.44</v>
      </c>
      <c r="E777" s="4">
        <f>SUM(E774:E776)</f>
        <v>17351.98</v>
      </c>
      <c r="F777" s="4"/>
      <c r="G777" s="4">
        <f>SUM(G774:G776)</f>
        <v>20906.03</v>
      </c>
      <c r="H777" s="4">
        <f>SUM(H774:H776)</f>
        <v>22806.578181818182</v>
      </c>
      <c r="I777" s="6">
        <f>SUM(I774:I776)</f>
        <v>13000</v>
      </c>
      <c r="J777" s="6">
        <f>SUM(J774:J776)</f>
        <v>12000</v>
      </c>
    </row>
    <row r="778" spans="1:11" x14ac:dyDescent="0.25">
      <c r="A778" s="1" t="s">
        <v>2</v>
      </c>
      <c r="B778" s="1" t="s">
        <v>2</v>
      </c>
      <c r="C778" s="1" t="s">
        <v>2</v>
      </c>
      <c r="D778" s="1" t="s">
        <v>2</v>
      </c>
      <c r="E778" s="1"/>
      <c r="F778" s="1"/>
      <c r="G778" s="1"/>
      <c r="H778" s="1"/>
      <c r="I778" s="1" t="s">
        <v>2</v>
      </c>
      <c r="J778" s="1" t="s">
        <v>2</v>
      </c>
    </row>
    <row r="779" spans="1:11" ht="15" customHeight="1" x14ac:dyDescent="0.25">
      <c r="A779" s="102" t="s">
        <v>706</v>
      </c>
      <c r="B779" s="102" t="s">
        <v>2</v>
      </c>
      <c r="C779" s="108"/>
      <c r="D779" s="108"/>
      <c r="E779" s="108"/>
      <c r="F779" s="108"/>
      <c r="G779" s="108"/>
      <c r="H779" s="108"/>
      <c r="I779" s="108"/>
      <c r="J779" s="108"/>
      <c r="K779" s="246"/>
    </row>
    <row r="780" spans="1:11" x14ac:dyDescent="0.25">
      <c r="A780" s="109" t="s">
        <v>707</v>
      </c>
      <c r="B780" s="109" t="s">
        <v>708</v>
      </c>
      <c r="C780" s="110">
        <v>23811.599999999999</v>
      </c>
      <c r="D780" s="110">
        <v>0</v>
      </c>
      <c r="E780" s="110">
        <v>1568.21</v>
      </c>
      <c r="F780" s="110"/>
      <c r="G780" s="110">
        <v>1568.21</v>
      </c>
      <c r="H780" s="110">
        <v>25217</v>
      </c>
      <c r="I780" s="110">
        <v>25217</v>
      </c>
      <c r="J780" s="110">
        <f>Transfers!$C$44</f>
        <v>25000</v>
      </c>
      <c r="K780" s="246"/>
    </row>
    <row r="781" spans="1:11" x14ac:dyDescent="0.25">
      <c r="A781" s="109" t="s">
        <v>709</v>
      </c>
      <c r="B781" s="109" t="s">
        <v>710</v>
      </c>
      <c r="C781" s="110">
        <v>50000</v>
      </c>
      <c r="D781" s="110">
        <v>0</v>
      </c>
      <c r="E781" s="110">
        <v>0</v>
      </c>
      <c r="F781" s="110"/>
      <c r="G781" s="110">
        <v>0</v>
      </c>
      <c r="H781" s="110">
        <v>700000</v>
      </c>
      <c r="I781" s="110">
        <v>700000</v>
      </c>
      <c r="J781" s="110">
        <f>Transfers!$C$15</f>
        <v>110000</v>
      </c>
      <c r="K781" s="246"/>
    </row>
    <row r="782" spans="1:11" x14ac:dyDescent="0.25">
      <c r="A782" s="109" t="s">
        <v>711</v>
      </c>
      <c r="B782" s="109" t="s">
        <v>712</v>
      </c>
      <c r="C782" s="110">
        <v>515000</v>
      </c>
      <c r="D782" s="110">
        <v>0</v>
      </c>
      <c r="E782" s="110">
        <v>0</v>
      </c>
      <c r="F782" s="110"/>
      <c r="G782" s="110">
        <v>0</v>
      </c>
      <c r="H782" s="110">
        <v>100000</v>
      </c>
      <c r="I782" s="110">
        <v>100000</v>
      </c>
      <c r="J782" s="110">
        <f>Transfers!$C$18</f>
        <v>100000</v>
      </c>
      <c r="K782" s="246"/>
    </row>
    <row r="783" spans="1:11" ht="15" customHeight="1" x14ac:dyDescent="0.25">
      <c r="A783" s="109" t="s">
        <v>713</v>
      </c>
      <c r="B783" s="109" t="s">
        <v>714</v>
      </c>
      <c r="C783" s="110">
        <v>570000</v>
      </c>
      <c r="D783" s="110">
        <v>0</v>
      </c>
      <c r="E783" s="110">
        <v>0</v>
      </c>
      <c r="F783" s="110"/>
      <c r="G783" s="110">
        <v>0</v>
      </c>
      <c r="H783" s="110">
        <v>40000</v>
      </c>
      <c r="I783" s="110">
        <v>40000</v>
      </c>
      <c r="J783" s="110">
        <f>Transfers!$C$20</f>
        <v>40000</v>
      </c>
      <c r="K783" s="246"/>
    </row>
    <row r="784" spans="1:11" ht="15" customHeight="1" x14ac:dyDescent="0.25">
      <c r="A784" s="109" t="s">
        <v>715</v>
      </c>
      <c r="B784" s="109" t="s">
        <v>716</v>
      </c>
      <c r="C784" s="110">
        <v>0</v>
      </c>
      <c r="D784" s="110">
        <v>0</v>
      </c>
      <c r="E784" s="110">
        <v>0</v>
      </c>
      <c r="F784" s="110"/>
      <c r="G784" s="110">
        <v>0</v>
      </c>
      <c r="H784" s="110">
        <v>0</v>
      </c>
      <c r="I784" s="110">
        <v>0</v>
      </c>
      <c r="J784" s="110">
        <f>Transfers!$C$83</f>
        <v>0</v>
      </c>
      <c r="K784" s="246"/>
    </row>
    <row r="785" spans="1:11" ht="15" customHeight="1" x14ac:dyDescent="0.25">
      <c r="A785" s="109" t="s">
        <v>717</v>
      </c>
      <c r="B785" s="109" t="s">
        <v>718</v>
      </c>
      <c r="C785" s="110">
        <v>0</v>
      </c>
      <c r="D785" s="110">
        <v>0</v>
      </c>
      <c r="E785" s="110">
        <v>0</v>
      </c>
      <c r="F785" s="110"/>
      <c r="G785" s="110">
        <v>0</v>
      </c>
      <c r="H785" s="110">
        <v>0</v>
      </c>
      <c r="I785" s="110">
        <v>0</v>
      </c>
      <c r="J785" s="110">
        <f>Transfers!$C$84</f>
        <v>0</v>
      </c>
      <c r="K785" s="246"/>
    </row>
    <row r="786" spans="1:11" ht="15" customHeight="1" x14ac:dyDescent="0.25">
      <c r="A786" s="109" t="s">
        <v>719</v>
      </c>
      <c r="B786" s="109" t="s">
        <v>720</v>
      </c>
      <c r="C786" s="110">
        <v>0</v>
      </c>
      <c r="D786" s="110">
        <v>0</v>
      </c>
      <c r="E786" s="110">
        <v>0</v>
      </c>
      <c r="F786" s="110"/>
      <c r="G786" s="110">
        <v>0</v>
      </c>
      <c r="H786" s="110">
        <v>0</v>
      </c>
      <c r="I786" s="110">
        <v>0</v>
      </c>
      <c r="J786" s="110">
        <f>Transfers!$C$85</f>
        <v>0</v>
      </c>
      <c r="K786" s="246"/>
    </row>
    <row r="787" spans="1:11" x14ac:dyDescent="0.25">
      <c r="A787" s="109" t="s">
        <v>721</v>
      </c>
      <c r="B787" s="109" t="s">
        <v>722</v>
      </c>
      <c r="C787" s="110">
        <v>0</v>
      </c>
      <c r="D787" s="110">
        <v>0</v>
      </c>
      <c r="E787" s="110">
        <v>0</v>
      </c>
      <c r="F787" s="110"/>
      <c r="G787" s="110">
        <v>0</v>
      </c>
      <c r="H787" s="110">
        <v>0</v>
      </c>
      <c r="I787" s="110">
        <v>0</v>
      </c>
      <c r="J787" s="110">
        <f>Transfers!$C$86</f>
        <v>0</v>
      </c>
      <c r="K787" s="246"/>
    </row>
    <row r="788" spans="1:11" ht="15" customHeight="1" x14ac:dyDescent="0.25">
      <c r="A788" s="109" t="s">
        <v>723</v>
      </c>
      <c r="B788" s="109" t="s">
        <v>724</v>
      </c>
      <c r="C788" s="110">
        <v>0</v>
      </c>
      <c r="D788" s="110">
        <v>0</v>
      </c>
      <c r="E788" s="110">
        <v>0</v>
      </c>
      <c r="F788" s="110"/>
      <c r="G788" s="110">
        <v>0</v>
      </c>
      <c r="H788" s="110">
        <v>0</v>
      </c>
      <c r="I788" s="110">
        <v>0</v>
      </c>
      <c r="J788" s="110">
        <f>Transfers!$C$87</f>
        <v>0</v>
      </c>
      <c r="K788" s="246"/>
    </row>
    <row r="789" spans="1:11" ht="15" customHeight="1" x14ac:dyDescent="0.25">
      <c r="A789" s="109" t="s">
        <v>725</v>
      </c>
      <c r="B789" s="109" t="s">
        <v>726</v>
      </c>
      <c r="C789" s="110">
        <v>0</v>
      </c>
      <c r="D789" s="110">
        <v>0</v>
      </c>
      <c r="E789" s="110">
        <v>0</v>
      </c>
      <c r="F789" s="110"/>
      <c r="G789" s="110">
        <v>0</v>
      </c>
      <c r="H789" s="110">
        <v>0</v>
      </c>
      <c r="I789" s="110">
        <v>0</v>
      </c>
      <c r="J789" s="110">
        <f>Transfers!$C$88</f>
        <v>0</v>
      </c>
      <c r="K789" s="246"/>
    </row>
    <row r="790" spans="1:11" ht="15" customHeight="1" x14ac:dyDescent="0.25">
      <c r="A790" s="109" t="s">
        <v>727</v>
      </c>
      <c r="B790" s="109" t="s">
        <v>728</v>
      </c>
      <c r="C790" s="110">
        <v>40277.4</v>
      </c>
      <c r="D790" s="110">
        <v>0</v>
      </c>
      <c r="E790" s="110">
        <v>0</v>
      </c>
      <c r="F790" s="110"/>
      <c r="G790" s="110">
        <v>0</v>
      </c>
      <c r="H790" s="110">
        <v>0</v>
      </c>
      <c r="I790" s="110">
        <v>0</v>
      </c>
      <c r="J790" s="110">
        <f>Transfers!$C$89</f>
        <v>0</v>
      </c>
      <c r="K790" s="246"/>
    </row>
    <row r="791" spans="1:11" ht="15" customHeight="1" x14ac:dyDescent="0.25">
      <c r="A791" s="109" t="s">
        <v>729</v>
      </c>
      <c r="B791" s="109" t="s">
        <v>730</v>
      </c>
      <c r="C791" s="110">
        <v>33976.43</v>
      </c>
      <c r="D791" s="110">
        <v>0</v>
      </c>
      <c r="E791" s="110">
        <v>0</v>
      </c>
      <c r="F791" s="110"/>
      <c r="G791" s="110">
        <v>0</v>
      </c>
      <c r="H791" s="110">
        <v>0</v>
      </c>
      <c r="I791" s="110">
        <v>0</v>
      </c>
      <c r="J791" s="110">
        <f>Transfers!$C$90</f>
        <v>0</v>
      </c>
      <c r="K791" s="246"/>
    </row>
    <row r="792" spans="1:11" ht="15" customHeight="1" x14ac:dyDescent="0.25">
      <c r="A792" s="109" t="s">
        <v>731</v>
      </c>
      <c r="B792" s="109" t="s">
        <v>732</v>
      </c>
      <c r="C792" s="110">
        <v>0</v>
      </c>
      <c r="D792" s="110">
        <v>0</v>
      </c>
      <c r="E792" s="110">
        <v>0</v>
      </c>
      <c r="F792" s="110"/>
      <c r="G792" s="110">
        <v>0</v>
      </c>
      <c r="H792" s="110">
        <v>0</v>
      </c>
      <c r="I792" s="110">
        <v>40000</v>
      </c>
      <c r="J792" s="110">
        <f>Transfers!$C$91</f>
        <v>40000</v>
      </c>
      <c r="K792" s="246"/>
    </row>
    <row r="793" spans="1:11" ht="15" customHeight="1" x14ac:dyDescent="0.25">
      <c r="A793" s="109" t="s">
        <v>733</v>
      </c>
      <c r="B793" s="109" t="s">
        <v>734</v>
      </c>
      <c r="C793" s="110">
        <v>0</v>
      </c>
      <c r="D793" s="110">
        <v>0</v>
      </c>
      <c r="E793" s="110">
        <v>0</v>
      </c>
      <c r="F793" s="110"/>
      <c r="G793" s="110">
        <v>0</v>
      </c>
      <c r="H793" s="110">
        <v>0</v>
      </c>
      <c r="I793" s="110">
        <v>40000</v>
      </c>
      <c r="J793" s="110">
        <f>Transfers!$C$92</f>
        <v>40000</v>
      </c>
      <c r="K793" s="246"/>
    </row>
    <row r="794" spans="1:11" ht="15" customHeight="1" x14ac:dyDescent="0.25">
      <c r="A794" s="109" t="s">
        <v>735</v>
      </c>
      <c r="B794" s="109" t="s">
        <v>3539</v>
      </c>
      <c r="C794" s="110">
        <v>0</v>
      </c>
      <c r="D794" s="110">
        <v>0</v>
      </c>
      <c r="E794" s="110">
        <v>0</v>
      </c>
      <c r="F794" s="110"/>
      <c r="G794" s="110">
        <v>0</v>
      </c>
      <c r="H794" s="110">
        <v>0</v>
      </c>
      <c r="I794" s="110">
        <v>100000</v>
      </c>
      <c r="J794" s="110">
        <f>Transfers!$C$82</f>
        <v>0</v>
      </c>
      <c r="K794" s="248">
        <v>2024</v>
      </c>
    </row>
    <row r="795" spans="1:11" ht="15" customHeight="1" x14ac:dyDescent="0.25">
      <c r="A795" s="109" t="s">
        <v>3570</v>
      </c>
      <c r="B795" s="109" t="s">
        <v>3571</v>
      </c>
      <c r="C795" s="110">
        <v>0</v>
      </c>
      <c r="D795" s="110">
        <v>0</v>
      </c>
      <c r="E795" s="110">
        <v>0</v>
      </c>
      <c r="F795" s="110"/>
      <c r="G795" s="110">
        <v>0</v>
      </c>
      <c r="H795" s="110">
        <v>0</v>
      </c>
      <c r="I795" s="110">
        <v>0</v>
      </c>
      <c r="J795" s="110">
        <f>Transfers!$C$93</f>
        <v>55000</v>
      </c>
      <c r="K795" s="246"/>
    </row>
    <row r="796" spans="1:11" ht="15" customHeight="1" x14ac:dyDescent="0.25">
      <c r="A796" s="109" t="s">
        <v>3570</v>
      </c>
      <c r="B796" s="109" t="s">
        <v>3572</v>
      </c>
      <c r="C796" s="110">
        <v>0</v>
      </c>
      <c r="D796" s="110">
        <v>0</v>
      </c>
      <c r="E796" s="110">
        <v>0</v>
      </c>
      <c r="F796" s="110"/>
      <c r="G796" s="110">
        <v>0</v>
      </c>
      <c r="H796" s="110">
        <v>0</v>
      </c>
      <c r="I796" s="110">
        <v>0</v>
      </c>
      <c r="J796" s="110">
        <f>Transfers!$C$94</f>
        <v>10000</v>
      </c>
      <c r="K796" s="246"/>
    </row>
    <row r="797" spans="1:11" ht="15" customHeight="1" x14ac:dyDescent="0.25">
      <c r="A797" s="109" t="s">
        <v>3570</v>
      </c>
      <c r="B797" s="109" t="s">
        <v>3573</v>
      </c>
      <c r="C797" s="110">
        <v>0</v>
      </c>
      <c r="D797" s="110">
        <v>0</v>
      </c>
      <c r="E797" s="110">
        <v>0</v>
      </c>
      <c r="F797" s="110"/>
      <c r="G797" s="110">
        <v>0</v>
      </c>
      <c r="H797" s="110">
        <v>0</v>
      </c>
      <c r="I797" s="110">
        <v>0</v>
      </c>
      <c r="J797" s="110">
        <f>Transfers!$C$95</f>
        <v>30000</v>
      </c>
      <c r="K797" s="246"/>
    </row>
    <row r="798" spans="1:11" ht="15" customHeight="1" x14ac:dyDescent="0.25">
      <c r="A798" s="109" t="s">
        <v>3570</v>
      </c>
      <c r="B798" s="109" t="s">
        <v>3574</v>
      </c>
      <c r="C798" s="110">
        <v>0</v>
      </c>
      <c r="D798" s="110">
        <v>0</v>
      </c>
      <c r="E798" s="110">
        <v>0</v>
      </c>
      <c r="F798" s="110"/>
      <c r="G798" s="110">
        <v>0</v>
      </c>
      <c r="H798" s="110">
        <v>0</v>
      </c>
      <c r="I798" s="110">
        <v>0</v>
      </c>
      <c r="J798" s="110">
        <f>Transfers!$C$96</f>
        <v>25000</v>
      </c>
      <c r="K798" s="246"/>
    </row>
    <row r="799" spans="1:11" ht="15" customHeight="1" x14ac:dyDescent="0.25">
      <c r="A799" s="109" t="s">
        <v>3570</v>
      </c>
      <c r="B799" s="109" t="s">
        <v>3575</v>
      </c>
      <c r="C799" s="110">
        <v>0</v>
      </c>
      <c r="D799" s="110">
        <v>0</v>
      </c>
      <c r="E799" s="110">
        <v>0</v>
      </c>
      <c r="F799" s="110"/>
      <c r="G799" s="110">
        <v>0</v>
      </c>
      <c r="H799" s="110">
        <v>0</v>
      </c>
      <c r="I799" s="110">
        <v>0</v>
      </c>
      <c r="J799" s="110">
        <f>Transfers!$C$97</f>
        <v>10000</v>
      </c>
      <c r="K799" s="246"/>
    </row>
    <row r="800" spans="1:11" ht="15" customHeight="1" x14ac:dyDescent="0.25">
      <c r="A800" s="1" t="s">
        <v>737</v>
      </c>
      <c r="B800" s="1" t="s">
        <v>2</v>
      </c>
      <c r="C800" s="4">
        <v>1233065.43</v>
      </c>
      <c r="D800" s="4">
        <v>0</v>
      </c>
      <c r="E800" s="4">
        <f>SUM(E780:E799)</f>
        <v>1568.21</v>
      </c>
      <c r="F800" s="4"/>
      <c r="G800" s="4">
        <f>SUM(G780:G799)</f>
        <v>1568.21</v>
      </c>
      <c r="H800" s="4">
        <f>SUM(H780:H799)</f>
        <v>865217</v>
      </c>
      <c r="I800" s="4">
        <f>SUM(I780:I799)</f>
        <v>1045217</v>
      </c>
      <c r="J800" s="4">
        <f>SUM(J780:J799)</f>
        <v>485000</v>
      </c>
    </row>
    <row r="801" spans="1:11" x14ac:dyDescent="0.25">
      <c r="A801" s="1" t="s">
        <v>2</v>
      </c>
      <c r="B801" s="1" t="s">
        <v>2</v>
      </c>
      <c r="C801" s="1" t="s">
        <v>2</v>
      </c>
      <c r="D801" s="1" t="s">
        <v>2</v>
      </c>
      <c r="E801" s="1"/>
      <c r="F801" s="1"/>
      <c r="G801" s="1"/>
      <c r="H801" s="1"/>
      <c r="I801" s="1" t="s">
        <v>2</v>
      </c>
      <c r="J801" s="1" t="s">
        <v>2</v>
      </c>
    </row>
    <row r="802" spans="1:11" ht="15" customHeight="1" x14ac:dyDescent="0.25">
      <c r="A802" s="1" t="s">
        <v>738</v>
      </c>
      <c r="B802" s="1" t="s">
        <v>2</v>
      </c>
      <c r="C802" s="4">
        <v>11855770.960000001</v>
      </c>
      <c r="D802" s="4">
        <v>5063979.25</v>
      </c>
      <c r="E802" s="4">
        <f>E317+E346+E370+E386+E409+E428+E435+E487+E572+E593+E618+E623+E653+E669+E673+E677+E733+E737+E771+E777+E800</f>
        <v>8184053.4300000034</v>
      </c>
      <c r="F802" s="4"/>
      <c r="G802" s="4">
        <f>G317+G346+G370+G386+G409+G428+G435+G487+G572+G593+G618+G623+G653+G669+G673+G677+G733+G737+G771+G777+G800</f>
        <v>9328898.2699999996</v>
      </c>
      <c r="H802" s="4">
        <f>H317+H346+H370+H386+H409+H428+H435+H487+H572+H593+H618+H623+H653+H669+H673+H677+H733+H737+H771+H777+H800</f>
        <v>11042447.41939394</v>
      </c>
      <c r="I802" s="6">
        <f>I800+I777+I771+I737+I733+I677+I673+I669+I653+I623+I618+I593+I572+I487+I435+I428+I409+I386+I370+I346+I317</f>
        <v>11900688.880000003</v>
      </c>
      <c r="J802" s="6">
        <f>J800+J777+J771+J737+J733+J677+J673+J669+J653+J623+J618+J593+J570+J513+J498+J487+J435+J428+J409+J386+J370+J346+J317</f>
        <v>13083688.967839183</v>
      </c>
      <c r="K802" s="247"/>
    </row>
    <row r="803" spans="1:11" ht="15" customHeight="1" x14ac:dyDescent="0.25">
      <c r="A803" s="291" t="s">
        <v>2550</v>
      </c>
      <c r="B803" s="291"/>
      <c r="C803" s="292">
        <f>C7+C305-C802</f>
        <v>6294005.1400000006</v>
      </c>
      <c r="D803" s="292">
        <f>D7+D305-D802</f>
        <v>6860374.6699999999</v>
      </c>
      <c r="E803" s="292">
        <f>E7+E305-E802</f>
        <v>6558998.2899999991</v>
      </c>
      <c r="F803" s="292"/>
      <c r="G803" s="292">
        <f>G7+G305-G802</f>
        <v>7554836.4200000018</v>
      </c>
      <c r="H803" s="292">
        <f>H7+H305-H802</f>
        <v>6972649.3751515131</v>
      </c>
      <c r="I803" s="292">
        <f>I7+I305-I802</f>
        <v>4060221.9399999976</v>
      </c>
      <c r="J803" s="292">
        <f>J7+J305-J802</f>
        <v>4527874.2353564631</v>
      </c>
      <c r="K803" s="293"/>
    </row>
    <row r="804" spans="1:11" x14ac:dyDescent="0.25">
      <c r="A804" s="1" t="s">
        <v>2</v>
      </c>
      <c r="B804" s="1" t="s">
        <v>2</v>
      </c>
      <c r="C804" s="1" t="s">
        <v>2</v>
      </c>
      <c r="D804" s="1" t="s">
        <v>2</v>
      </c>
      <c r="E804" s="1"/>
      <c r="F804" s="1"/>
      <c r="G804" s="1"/>
      <c r="H804" s="1"/>
      <c r="I804" s="24"/>
      <c r="J804" s="1" t="s">
        <v>2</v>
      </c>
    </row>
  </sheetData>
  <mergeCells count="2">
    <mergeCell ref="A2:K2"/>
    <mergeCell ref="A3:K3"/>
  </mergeCells>
  <printOptions headings="1"/>
  <pageMargins left="0.2" right="0.2" top="0.75" bottom="0.75" header="0.3" footer="0.3"/>
  <pageSetup paperSize="3" fitToHeight="0" orientation="landscape" horizontalDpi="300" verticalDpi="300" r:id="rId1"/>
  <headerFooter alignWithMargins="0">
    <oddFooter>&amp;L&amp;"Tahoma,Regular"&amp;8 Printed by Finance on 12/2/2022 &amp;C&amp;"Tahoma,Regular"&amp;8 &amp;R&amp;"Tahoma,Regular"&amp;8 Page 1 of 2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95EBA-40D1-4733-8513-0B20EB8414E5}">
  <sheetPr>
    <tabColor rgb="FF92D050"/>
    <pageSetUpPr fitToPage="1"/>
  </sheetPr>
  <dimension ref="A1:N25"/>
  <sheetViews>
    <sheetView showGridLines="0" showRuler="0" zoomScaleNormal="100" workbookViewId="0">
      <selection activeCell="J30" sqref="J30"/>
    </sheetView>
  </sheetViews>
  <sheetFormatPr defaultRowHeight="15" x14ac:dyDescent="0.25"/>
  <cols>
    <col min="1" max="1" width="29" customWidth="1"/>
    <col min="2" max="2" width="49" customWidth="1"/>
    <col min="3" max="3" width="29.7109375" customWidth="1"/>
    <col min="4" max="4" width="16.7109375" hidden="1" customWidth="1"/>
    <col min="5" max="5" width="20.5703125" hidden="1" customWidth="1"/>
    <col min="6" max="6" width="15.85546875" hidden="1" customWidth="1"/>
    <col min="7" max="9" width="16.7109375" customWidth="1"/>
    <col min="10" max="10" width="44.7109375" customWidth="1"/>
    <col min="11" max="11" width="56" customWidth="1"/>
    <col min="13" max="14" width="13.7109375" customWidth="1"/>
  </cols>
  <sheetData>
    <row r="1" spans="1:14" ht="26.25" customHeight="1" x14ac:dyDescent="0.25"/>
    <row r="2" spans="1:14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  <c r="J2" s="329"/>
    </row>
    <row r="3" spans="1:14" s="242" customFormat="1" ht="18" customHeight="1" x14ac:dyDescent="0.3">
      <c r="A3" s="334" t="s">
        <v>4026</v>
      </c>
      <c r="B3" s="334"/>
      <c r="C3" s="334"/>
      <c r="D3" s="334"/>
      <c r="E3" s="334"/>
      <c r="F3" s="334"/>
      <c r="G3" s="334"/>
      <c r="H3" s="334"/>
      <c r="I3" s="334"/>
      <c r="J3" s="334"/>
    </row>
    <row r="4" spans="1:14" ht="18" customHeight="1" x14ac:dyDescent="0.5">
      <c r="A4" s="8"/>
      <c r="I4" s="241">
        <f>I7-G25</f>
        <v>0</v>
      </c>
    </row>
    <row r="5" spans="1:14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4058</v>
      </c>
      <c r="G5" s="9" t="s">
        <v>3552</v>
      </c>
      <c r="H5" s="9" t="s">
        <v>2022</v>
      </c>
      <c r="I5" s="9" t="s">
        <v>2023</v>
      </c>
      <c r="J5" s="11" t="s">
        <v>2024</v>
      </c>
      <c r="M5" s="47"/>
      <c r="N5" s="47"/>
    </row>
    <row r="6" spans="1:14" ht="15" customHeight="1" x14ac:dyDescent="0.25">
      <c r="A6" s="1"/>
      <c r="B6" s="1" t="s">
        <v>2</v>
      </c>
    </row>
    <row r="7" spans="1:14" ht="15" customHeight="1" x14ac:dyDescent="0.25">
      <c r="A7" s="291" t="s">
        <v>2551</v>
      </c>
      <c r="B7" s="291"/>
      <c r="C7" s="294">
        <v>156253.20000000001</v>
      </c>
      <c r="D7" s="294">
        <v>206453.45</v>
      </c>
      <c r="E7" s="294">
        <v>206453.45</v>
      </c>
      <c r="F7" s="294"/>
      <c r="G7" s="294">
        <v>206453.45</v>
      </c>
      <c r="H7" s="294">
        <v>206453.45</v>
      </c>
      <c r="I7" s="294">
        <f>G25</f>
        <v>907049.85000000009</v>
      </c>
      <c r="J7" s="291"/>
    </row>
    <row r="8" spans="1:14" ht="24" x14ac:dyDescent="0.25">
      <c r="A8" s="23" t="s">
        <v>739</v>
      </c>
      <c r="B8" s="23" t="s">
        <v>2</v>
      </c>
      <c r="C8" s="29"/>
      <c r="D8" s="29"/>
      <c r="E8" s="29"/>
      <c r="F8" s="29"/>
      <c r="G8" s="29"/>
      <c r="H8" s="29"/>
      <c r="I8" s="29"/>
      <c r="J8" s="29"/>
    </row>
    <row r="9" spans="1:14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  <c r="J9" s="29"/>
    </row>
    <row r="10" spans="1:14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  <c r="J10" s="29"/>
    </row>
    <row r="11" spans="1:14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  <c r="J11" s="29"/>
    </row>
    <row r="12" spans="1:14" x14ac:dyDescent="0.25">
      <c r="A12" s="30" t="s">
        <v>2552</v>
      </c>
      <c r="B12" s="30" t="s">
        <v>2409</v>
      </c>
      <c r="C12" s="31">
        <v>200.25</v>
      </c>
      <c r="D12" s="31">
        <v>151.88999999999999</v>
      </c>
      <c r="E12" s="31">
        <v>447.3</v>
      </c>
      <c r="F12" s="31">
        <v>447.3</v>
      </c>
      <c r="G12" s="31">
        <f>E12/9*12</f>
        <v>596.40000000000009</v>
      </c>
      <c r="H12" s="31">
        <v>0</v>
      </c>
      <c r="I12" s="31">
        <v>0</v>
      </c>
      <c r="J12" s="29"/>
    </row>
    <row r="13" spans="1:14" ht="24" x14ac:dyDescent="0.25">
      <c r="A13" s="23" t="s">
        <v>2179</v>
      </c>
      <c r="B13" s="23" t="s">
        <v>2</v>
      </c>
      <c r="C13" s="32">
        <v>200.25</v>
      </c>
      <c r="D13" s="32">
        <v>151.88999999999999</v>
      </c>
      <c r="E13" s="32">
        <f>E12</f>
        <v>447.3</v>
      </c>
      <c r="F13" s="32">
        <f>F12</f>
        <v>447.3</v>
      </c>
      <c r="G13" s="32">
        <f>G12</f>
        <v>596.40000000000009</v>
      </c>
      <c r="H13" s="32">
        <f>SUM(H12)</f>
        <v>0</v>
      </c>
      <c r="I13" s="32">
        <f>SUM(I12)</f>
        <v>0</v>
      </c>
      <c r="J13" s="29"/>
    </row>
    <row r="14" spans="1:14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/>
      <c r="H14" s="23" t="s">
        <v>2</v>
      </c>
      <c r="I14" s="23" t="s">
        <v>2</v>
      </c>
      <c r="J14" s="29"/>
    </row>
    <row r="15" spans="1:14" ht="24" x14ac:dyDescent="0.25">
      <c r="A15" s="23" t="s">
        <v>2180</v>
      </c>
      <c r="B15" s="23" t="s">
        <v>2</v>
      </c>
      <c r="C15" s="32">
        <v>200.25</v>
      </c>
      <c r="D15" s="32">
        <v>151.88999999999999</v>
      </c>
      <c r="E15" s="32">
        <f>E13</f>
        <v>447.3</v>
      </c>
      <c r="F15" s="32">
        <f>F13</f>
        <v>447.3</v>
      </c>
      <c r="G15" s="32">
        <f>G13</f>
        <v>596.40000000000009</v>
      </c>
      <c r="H15" s="32">
        <f>H13</f>
        <v>0</v>
      </c>
      <c r="I15" s="32">
        <f>I13</f>
        <v>0</v>
      </c>
      <c r="J15" s="29"/>
    </row>
    <row r="16" spans="1:14" x14ac:dyDescent="0.25">
      <c r="A16" s="23" t="s">
        <v>2</v>
      </c>
      <c r="B16" s="23" t="s">
        <v>2</v>
      </c>
      <c r="C16" s="23" t="s">
        <v>2</v>
      </c>
      <c r="D16" s="23" t="s">
        <v>2</v>
      </c>
      <c r="E16" s="23"/>
      <c r="F16" s="23"/>
      <c r="G16" s="23"/>
      <c r="H16" s="23" t="s">
        <v>2</v>
      </c>
      <c r="I16" s="23" t="s">
        <v>2</v>
      </c>
      <c r="J16" s="29"/>
    </row>
    <row r="17" spans="1:10" x14ac:dyDescent="0.25">
      <c r="A17" s="23" t="s">
        <v>2553</v>
      </c>
      <c r="B17" s="23" t="s">
        <v>2</v>
      </c>
      <c r="C17" s="29"/>
      <c r="D17" s="29"/>
      <c r="E17" s="29"/>
      <c r="F17" s="29"/>
      <c r="G17" s="29"/>
      <c r="H17" s="29"/>
      <c r="I17" s="29"/>
      <c r="J17" s="29"/>
    </row>
    <row r="18" spans="1:10" x14ac:dyDescent="0.25">
      <c r="A18" s="109" t="s">
        <v>2554</v>
      </c>
      <c r="B18" s="109" t="s">
        <v>2555</v>
      </c>
      <c r="C18" s="110">
        <v>50000</v>
      </c>
      <c r="D18" s="110">
        <v>0</v>
      </c>
      <c r="E18" s="110">
        <v>0</v>
      </c>
      <c r="F18" s="110">
        <v>0</v>
      </c>
      <c r="G18" s="110">
        <v>700000</v>
      </c>
      <c r="H18" s="110">
        <v>700000</v>
      </c>
      <c r="I18" s="110">
        <f>Transfers!$C$15</f>
        <v>110000</v>
      </c>
      <c r="J18" s="108"/>
    </row>
    <row r="19" spans="1:10" ht="24" x14ac:dyDescent="0.25">
      <c r="A19" s="23" t="s">
        <v>2556</v>
      </c>
      <c r="B19" s="23" t="s">
        <v>2</v>
      </c>
      <c r="C19" s="32">
        <v>50000</v>
      </c>
      <c r="D19" s="32">
        <v>0</v>
      </c>
      <c r="E19" s="32">
        <f>E18</f>
        <v>0</v>
      </c>
      <c r="F19" s="32">
        <f>F18</f>
        <v>0</v>
      </c>
      <c r="G19" s="32">
        <f>G18</f>
        <v>700000</v>
      </c>
      <c r="H19" s="32">
        <f>SUM(H18)</f>
        <v>700000</v>
      </c>
      <c r="I19" s="32">
        <f>SUM(I18)</f>
        <v>110000</v>
      </c>
      <c r="J19" s="29"/>
    </row>
    <row r="20" spans="1:10" x14ac:dyDescent="0.25">
      <c r="A20" s="23" t="s">
        <v>2</v>
      </c>
      <c r="B20" s="23" t="s">
        <v>2</v>
      </c>
      <c r="C20" s="23" t="s">
        <v>2</v>
      </c>
      <c r="D20" s="23" t="s">
        <v>2</v>
      </c>
      <c r="E20" s="23"/>
      <c r="F20" s="23"/>
      <c r="G20" s="23"/>
      <c r="H20" s="23" t="s">
        <v>2</v>
      </c>
      <c r="I20" s="23" t="s">
        <v>2</v>
      </c>
      <c r="J20" s="29"/>
    </row>
    <row r="21" spans="1:10" x14ac:dyDescent="0.25">
      <c r="A21" s="23" t="s">
        <v>2047</v>
      </c>
      <c r="B21" s="23" t="s">
        <v>2</v>
      </c>
      <c r="C21" s="32">
        <v>50200.25</v>
      </c>
      <c r="D21" s="32">
        <v>151.88999999999999</v>
      </c>
      <c r="E21" s="32">
        <f>E15+E19</f>
        <v>447.3</v>
      </c>
      <c r="F21" s="32">
        <f>F15+F19</f>
        <v>447.3</v>
      </c>
      <c r="G21" s="32">
        <f>G15+G19</f>
        <v>700596.4</v>
      </c>
      <c r="H21" s="32">
        <f>H19+H15</f>
        <v>700000</v>
      </c>
      <c r="I21" s="32">
        <f>I19+I15</f>
        <v>110000</v>
      </c>
      <c r="J21" s="29"/>
    </row>
    <row r="22" spans="1:10" x14ac:dyDescent="0.25">
      <c r="A22" s="1" t="s">
        <v>740</v>
      </c>
      <c r="B22" s="1" t="s">
        <v>2</v>
      </c>
    </row>
    <row r="23" spans="1:10" ht="15" customHeight="1" x14ac:dyDescent="0.25">
      <c r="A23" s="109" t="s">
        <v>741</v>
      </c>
      <c r="B23" s="109" t="s">
        <v>742</v>
      </c>
      <c r="C23" s="110">
        <v>0</v>
      </c>
      <c r="D23" s="110">
        <v>0</v>
      </c>
      <c r="E23" s="110">
        <v>0</v>
      </c>
      <c r="F23" s="110"/>
      <c r="G23" s="110">
        <v>0</v>
      </c>
      <c r="H23" s="110">
        <v>0</v>
      </c>
      <c r="I23" s="110">
        <f>Transfers!$C$16</f>
        <v>0</v>
      </c>
      <c r="J23" s="108"/>
    </row>
    <row r="24" spans="1:10" ht="15" customHeight="1" x14ac:dyDescent="0.25">
      <c r="A24" s="1" t="s">
        <v>743</v>
      </c>
      <c r="B24" s="1" t="s">
        <v>2</v>
      </c>
      <c r="C24" s="4">
        <v>0</v>
      </c>
      <c r="D24" s="4">
        <v>0</v>
      </c>
      <c r="E24" s="4">
        <f>E23</f>
        <v>0</v>
      </c>
      <c r="F24" s="4"/>
      <c r="G24" s="4">
        <f>G23</f>
        <v>0</v>
      </c>
      <c r="H24" s="6">
        <f>SUM(H23)</f>
        <v>0</v>
      </c>
      <c r="I24" s="6">
        <f>SUM(I23)</f>
        <v>0</v>
      </c>
    </row>
    <row r="25" spans="1:10" ht="15" customHeight="1" x14ac:dyDescent="0.25">
      <c r="A25" s="291" t="s">
        <v>2557</v>
      </c>
      <c r="B25" s="291"/>
      <c r="C25" s="294">
        <f t="shared" ref="C25:I25" si="0">C7+C21-C24</f>
        <v>206453.45</v>
      </c>
      <c r="D25" s="294">
        <f t="shared" si="0"/>
        <v>206605.34000000003</v>
      </c>
      <c r="E25" s="294">
        <f t="shared" si="0"/>
        <v>206900.75</v>
      </c>
      <c r="F25" s="294"/>
      <c r="G25" s="294">
        <f t="shared" si="0"/>
        <v>907049.85000000009</v>
      </c>
      <c r="H25" s="294">
        <f t="shared" si="0"/>
        <v>906453.45</v>
      </c>
      <c r="I25" s="294">
        <f t="shared" si="0"/>
        <v>1017049.8500000001</v>
      </c>
      <c r="J25" s="291"/>
    </row>
  </sheetData>
  <mergeCells count="2">
    <mergeCell ref="A2:J2"/>
    <mergeCell ref="A3:J3"/>
  </mergeCells>
  <printOptions headings="1"/>
  <pageMargins left="0.2" right="0.2" top="0.75" bottom="0.75" header="0.3" footer="0.3"/>
  <pageSetup paperSize="5" scale="84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300BA-AED7-4A44-AD90-2813465E1265}">
  <sheetPr>
    <tabColor rgb="FF92D050"/>
    <pageSetUpPr fitToPage="1"/>
  </sheetPr>
  <dimension ref="A1:M27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8.42578125" customWidth="1"/>
    <col min="4" max="4" width="15.5703125" hidden="1" customWidth="1"/>
    <col min="5" max="5" width="18.14062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4025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H7-F26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3552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2558</v>
      </c>
      <c r="B7" s="291"/>
      <c r="C7" s="294">
        <v>51153.98</v>
      </c>
      <c r="D7" s="294">
        <v>1016610.91</v>
      </c>
      <c r="E7" s="294">
        <v>1016610.91</v>
      </c>
      <c r="F7" s="294">
        <v>1016610.91</v>
      </c>
      <c r="G7" s="294">
        <v>1016610.91</v>
      </c>
      <c r="H7" s="294">
        <f>F26</f>
        <v>1619547.67</v>
      </c>
      <c r="I7" s="291"/>
    </row>
    <row r="8" spans="1:13" x14ac:dyDescent="0.25">
      <c r="A8" s="23" t="s">
        <v>744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2559</v>
      </c>
      <c r="B12" s="30" t="s">
        <v>2409</v>
      </c>
      <c r="C12" s="31">
        <v>456.93</v>
      </c>
      <c r="D12" s="31">
        <v>747.94</v>
      </c>
      <c r="E12" s="31">
        <v>2202.5700000000002</v>
      </c>
      <c r="F12" s="31">
        <f>E12/9*12</f>
        <v>2936.76</v>
      </c>
      <c r="G12" s="31">
        <v>0</v>
      </c>
      <c r="H12" s="31">
        <v>0</v>
      </c>
      <c r="I12" s="29"/>
    </row>
    <row r="13" spans="1:13" ht="24" x14ac:dyDescent="0.25">
      <c r="A13" s="23" t="s">
        <v>2179</v>
      </c>
      <c r="B13" s="23" t="s">
        <v>2</v>
      </c>
      <c r="C13" s="32">
        <v>456.93</v>
      </c>
      <c r="D13" s="32">
        <v>747.94</v>
      </c>
      <c r="E13" s="32">
        <f>E12</f>
        <v>2202.5700000000002</v>
      </c>
      <c r="F13" s="32">
        <f>F12</f>
        <v>2936.76</v>
      </c>
      <c r="G13" s="32">
        <f>SUM(G12)</f>
        <v>0</v>
      </c>
      <c r="H13" s="32">
        <f>SUM(H12)</f>
        <v>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ht="24" x14ac:dyDescent="0.25">
      <c r="A15" s="23" t="s">
        <v>2180</v>
      </c>
      <c r="B15" s="23" t="s">
        <v>2</v>
      </c>
      <c r="C15" s="32">
        <v>456.93</v>
      </c>
      <c r="D15" s="32">
        <v>747.94</v>
      </c>
      <c r="E15" s="32">
        <f>E13</f>
        <v>2202.5700000000002</v>
      </c>
      <c r="F15" s="32">
        <f>F13</f>
        <v>2936.76</v>
      </c>
      <c r="G15" s="32">
        <f>G13</f>
        <v>0</v>
      </c>
      <c r="H15" s="32">
        <f>H13</f>
        <v>0</v>
      </c>
      <c r="I15" s="29"/>
    </row>
    <row r="16" spans="1:13" x14ac:dyDescent="0.25">
      <c r="A16" s="23" t="s">
        <v>2</v>
      </c>
      <c r="B16" s="23" t="s">
        <v>2</v>
      </c>
      <c r="C16" s="23" t="s">
        <v>2</v>
      </c>
      <c r="D16" s="23" t="s">
        <v>2</v>
      </c>
      <c r="E16" s="23"/>
      <c r="F16" s="23"/>
      <c r="G16" s="23" t="s">
        <v>2</v>
      </c>
      <c r="H16" s="23" t="s">
        <v>2</v>
      </c>
      <c r="I16" s="29"/>
    </row>
    <row r="17" spans="1:9" x14ac:dyDescent="0.25">
      <c r="A17" s="23" t="s">
        <v>2553</v>
      </c>
      <c r="B17" s="23" t="s">
        <v>2</v>
      </c>
      <c r="C17" s="29"/>
      <c r="D17" s="29"/>
      <c r="E17" s="29"/>
      <c r="F17" s="29"/>
      <c r="G17" s="29"/>
      <c r="H17" s="29"/>
      <c r="I17" s="29"/>
    </row>
    <row r="18" spans="1:9" x14ac:dyDescent="0.25">
      <c r="A18" s="109" t="s">
        <v>2560</v>
      </c>
      <c r="B18" s="109" t="s">
        <v>2561</v>
      </c>
      <c r="C18" s="110">
        <v>500000</v>
      </c>
      <c r="D18" s="110">
        <v>0</v>
      </c>
      <c r="E18" s="110">
        <v>0</v>
      </c>
      <c r="F18" s="110">
        <v>500000</v>
      </c>
      <c r="G18" s="110">
        <v>500000</v>
      </c>
      <c r="H18" s="110">
        <f>Transfers!$C$17</f>
        <v>500000</v>
      </c>
      <c r="I18" s="108" t="s">
        <v>4036</v>
      </c>
    </row>
    <row r="19" spans="1:9" x14ac:dyDescent="0.25">
      <c r="A19" s="109" t="s">
        <v>2562</v>
      </c>
      <c r="B19" s="109" t="s">
        <v>2555</v>
      </c>
      <c r="C19" s="110">
        <v>515000</v>
      </c>
      <c r="D19" s="110">
        <v>0</v>
      </c>
      <c r="E19" s="110">
        <v>0</v>
      </c>
      <c r="F19" s="110">
        <v>100000</v>
      </c>
      <c r="G19" s="110">
        <v>100000</v>
      </c>
      <c r="H19" s="110">
        <f>Transfers!$C$18</f>
        <v>100000</v>
      </c>
      <c r="I19" s="108"/>
    </row>
    <row r="20" spans="1:9" ht="24" x14ac:dyDescent="0.25">
      <c r="A20" s="23" t="s">
        <v>2556</v>
      </c>
      <c r="B20" s="23" t="s">
        <v>2</v>
      </c>
      <c r="C20" s="32">
        <v>1015000</v>
      </c>
      <c r="D20" s="32">
        <v>0</v>
      </c>
      <c r="E20" s="32">
        <f>E18+E19</f>
        <v>0</v>
      </c>
      <c r="F20" s="32">
        <f>F18+F19</f>
        <v>600000</v>
      </c>
      <c r="G20" s="32">
        <f>SUM(G18:G19)</f>
        <v>600000</v>
      </c>
      <c r="H20" s="32">
        <f>SUM(H18:H19)</f>
        <v>600000</v>
      </c>
      <c r="I20" s="29"/>
    </row>
    <row r="21" spans="1:9" x14ac:dyDescent="0.25">
      <c r="A21" s="23" t="s">
        <v>2</v>
      </c>
      <c r="B21" s="23" t="s">
        <v>2</v>
      </c>
      <c r="C21" s="23" t="s">
        <v>2</v>
      </c>
      <c r="D21" s="23" t="s">
        <v>2</v>
      </c>
      <c r="E21" s="23"/>
      <c r="F21" s="23"/>
      <c r="G21" s="23" t="s">
        <v>2</v>
      </c>
      <c r="H21" s="23" t="s">
        <v>2</v>
      </c>
      <c r="I21" s="29"/>
    </row>
    <row r="22" spans="1:9" x14ac:dyDescent="0.25">
      <c r="A22" s="23" t="s">
        <v>2047</v>
      </c>
      <c r="B22" s="23" t="s">
        <v>2</v>
      </c>
      <c r="C22" s="32">
        <v>1015456.93</v>
      </c>
      <c r="D22" s="32">
        <v>747.94</v>
      </c>
      <c r="E22" s="32">
        <f>E15+E20</f>
        <v>2202.5700000000002</v>
      </c>
      <c r="F22" s="32">
        <f>F15+F20</f>
        <v>602936.76</v>
      </c>
      <c r="G22" s="32">
        <f>G15+G20</f>
        <v>600000</v>
      </c>
      <c r="H22" s="32">
        <f>H15+H20</f>
        <v>600000</v>
      </c>
      <c r="I22" s="29"/>
    </row>
    <row r="23" spans="1:9" x14ac:dyDescent="0.25">
      <c r="A23" s="1" t="s">
        <v>740</v>
      </c>
      <c r="B23" s="1" t="s">
        <v>2</v>
      </c>
    </row>
    <row r="24" spans="1:9" ht="15" customHeight="1" x14ac:dyDescent="0.25">
      <c r="A24" s="109" t="s">
        <v>745</v>
      </c>
      <c r="B24" s="109" t="s">
        <v>746</v>
      </c>
      <c r="C24" s="110">
        <v>50000</v>
      </c>
      <c r="D24" s="110">
        <v>0</v>
      </c>
      <c r="E24" s="110">
        <v>0</v>
      </c>
      <c r="F24" s="110">
        <v>0</v>
      </c>
      <c r="G24" s="110">
        <v>0</v>
      </c>
      <c r="H24" s="110">
        <f>Transfers!$C$8</f>
        <v>0</v>
      </c>
      <c r="I24" s="108"/>
    </row>
    <row r="25" spans="1:9" ht="15" customHeight="1" x14ac:dyDescent="0.25">
      <c r="A25" s="1" t="s">
        <v>747</v>
      </c>
      <c r="B25" s="1" t="s">
        <v>2</v>
      </c>
      <c r="C25" s="4">
        <v>50000</v>
      </c>
      <c r="D25" s="4">
        <v>0</v>
      </c>
      <c r="E25" s="4">
        <f>E24</f>
        <v>0</v>
      </c>
      <c r="F25" s="4">
        <f>F24</f>
        <v>0</v>
      </c>
      <c r="G25" s="6">
        <f>SUM(G24)</f>
        <v>0</v>
      </c>
      <c r="H25" s="6">
        <f>SUM(H24)</f>
        <v>0</v>
      </c>
    </row>
    <row r="26" spans="1:9" ht="15" customHeight="1" x14ac:dyDescent="0.25">
      <c r="A26" s="291" t="s">
        <v>2563</v>
      </c>
      <c r="B26" s="291"/>
      <c r="C26" s="294">
        <f t="shared" ref="C26:G26" si="0">C7+C22-C25</f>
        <v>1016610.9100000001</v>
      </c>
      <c r="D26" s="294">
        <f t="shared" si="0"/>
        <v>1017358.85</v>
      </c>
      <c r="E26" s="294">
        <f t="shared" si="0"/>
        <v>1018813.48</v>
      </c>
      <c r="F26" s="294">
        <f t="shared" si="0"/>
        <v>1619547.67</v>
      </c>
      <c r="G26" s="294">
        <f t="shared" si="0"/>
        <v>1616610.9100000001</v>
      </c>
      <c r="H26" s="294">
        <f>H7+H22-H25</f>
        <v>2219547.67</v>
      </c>
      <c r="I26" s="291"/>
    </row>
    <row r="27" spans="1:9" ht="15" customHeight="1" x14ac:dyDescent="0.25">
      <c r="A27" s="34"/>
      <c r="B27" s="34"/>
      <c r="C27" s="35"/>
      <c r="D27" s="35"/>
      <c r="E27" s="35"/>
      <c r="F27" s="35"/>
      <c r="G27" s="35"/>
      <c r="H27" s="35"/>
      <c r="I27" s="34"/>
    </row>
  </sheetData>
  <mergeCells count="2">
    <mergeCell ref="A2:I2"/>
    <mergeCell ref="A3:I3"/>
  </mergeCells>
  <printOptions headings="1"/>
  <pageMargins left="0.2" right="0.2" top="0.75" bottom="0.75" header="0.3" footer="0.3"/>
  <pageSetup paperSize="5" scale="88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F1D2-1C05-4258-89D7-A3DCD96754C9}">
  <sheetPr>
    <tabColor rgb="FF92D050"/>
    <pageSetUpPr fitToPage="1"/>
  </sheetPr>
  <dimension ref="A1:M29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4024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H7-F28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3552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2569</v>
      </c>
      <c r="B7" s="291" t="s">
        <v>2</v>
      </c>
      <c r="C7" s="294">
        <v>989337.56</v>
      </c>
      <c r="D7" s="294">
        <v>1626745.3</v>
      </c>
      <c r="E7" s="294">
        <v>1626745.3</v>
      </c>
      <c r="F7" s="294">
        <v>1626745.3</v>
      </c>
      <c r="G7" s="294">
        <v>1626745.3</v>
      </c>
      <c r="H7" s="294">
        <f>F28</f>
        <v>1730195.0066666666</v>
      </c>
      <c r="I7" s="291"/>
    </row>
    <row r="8" spans="1:13" x14ac:dyDescent="0.25">
      <c r="A8" s="23" t="s">
        <v>748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2176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2570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2565</v>
      </c>
      <c r="B12" s="30" t="s">
        <v>2409</v>
      </c>
      <c r="C12" s="31">
        <v>1072.47</v>
      </c>
      <c r="D12" s="31">
        <v>849.51</v>
      </c>
      <c r="E12" s="31">
        <v>2924.68</v>
      </c>
      <c r="F12" s="31">
        <f>E12/9*12</f>
        <v>3899.5733333333333</v>
      </c>
      <c r="G12" s="31">
        <v>0</v>
      </c>
      <c r="H12" s="31">
        <v>0</v>
      </c>
      <c r="I12" s="29"/>
    </row>
    <row r="13" spans="1:13" x14ac:dyDescent="0.25">
      <c r="A13" s="23" t="s">
        <v>2564</v>
      </c>
      <c r="B13" s="23" t="s">
        <v>2</v>
      </c>
      <c r="C13" s="32">
        <v>1072.47</v>
      </c>
      <c r="D13" s="32">
        <v>849.51</v>
      </c>
      <c r="E13" s="32">
        <f>E12</f>
        <v>2924.68</v>
      </c>
      <c r="F13" s="32">
        <f>F12</f>
        <v>3899.5733333333333</v>
      </c>
      <c r="G13" s="32">
        <f>SUM(G12)</f>
        <v>0</v>
      </c>
      <c r="H13" s="32">
        <f>SUM(H12)</f>
        <v>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ht="24" x14ac:dyDescent="0.25">
      <c r="A15" s="23" t="s">
        <v>2179</v>
      </c>
      <c r="B15" s="23" t="s">
        <v>2</v>
      </c>
      <c r="C15" s="32">
        <v>1072.47</v>
      </c>
      <c r="D15" s="32">
        <v>849.51</v>
      </c>
      <c r="E15" s="32">
        <f>E13</f>
        <v>2924.68</v>
      </c>
      <c r="F15" s="32">
        <f>F13</f>
        <v>3899.5733333333333</v>
      </c>
      <c r="G15" s="32">
        <f>G13</f>
        <v>0</v>
      </c>
      <c r="H15" s="32">
        <f>H13</f>
        <v>0</v>
      </c>
      <c r="I15" s="29"/>
    </row>
    <row r="16" spans="1:13" x14ac:dyDescent="0.25">
      <c r="A16" s="23" t="s">
        <v>2</v>
      </c>
      <c r="B16" s="23" t="s">
        <v>2</v>
      </c>
      <c r="C16" s="23" t="s">
        <v>2</v>
      </c>
      <c r="D16" s="23" t="s">
        <v>2</v>
      </c>
      <c r="E16" s="23"/>
      <c r="F16" s="23"/>
      <c r="G16" s="23" t="s">
        <v>2</v>
      </c>
      <c r="H16" s="23" t="s">
        <v>2</v>
      </c>
      <c r="I16" s="29"/>
    </row>
    <row r="17" spans="1:9" x14ac:dyDescent="0.25">
      <c r="A17" s="23" t="s">
        <v>2553</v>
      </c>
      <c r="B17" s="23" t="s">
        <v>2</v>
      </c>
      <c r="C17" s="29"/>
      <c r="D17" s="29"/>
      <c r="E17" s="29"/>
      <c r="F17" s="29"/>
      <c r="G17" s="29"/>
      <c r="H17" s="29"/>
      <c r="I17" s="29"/>
    </row>
    <row r="18" spans="1:9" x14ac:dyDescent="0.25">
      <c r="A18" s="109" t="s">
        <v>2566</v>
      </c>
      <c r="B18" s="109" t="s">
        <v>2567</v>
      </c>
      <c r="C18" s="110">
        <v>100000</v>
      </c>
      <c r="D18" s="110">
        <v>0</v>
      </c>
      <c r="E18" s="110">
        <v>0</v>
      </c>
      <c r="F18" s="110">
        <v>100000</v>
      </c>
      <c r="G18" s="110">
        <v>100000</v>
      </c>
      <c r="H18" s="110">
        <f>Transfers!$C$19</f>
        <v>100000</v>
      </c>
      <c r="I18" s="108"/>
    </row>
    <row r="19" spans="1:9" x14ac:dyDescent="0.25">
      <c r="A19" s="109" t="s">
        <v>2568</v>
      </c>
      <c r="B19" s="109" t="s">
        <v>2555</v>
      </c>
      <c r="C19" s="110">
        <v>570000</v>
      </c>
      <c r="D19" s="110">
        <v>0</v>
      </c>
      <c r="E19" s="110">
        <v>0</v>
      </c>
      <c r="F19" s="110">
        <v>40000</v>
      </c>
      <c r="G19" s="110">
        <v>40000</v>
      </c>
      <c r="H19" s="110">
        <f>Transfers!$C$20</f>
        <v>40000</v>
      </c>
      <c r="I19" s="108"/>
    </row>
    <row r="20" spans="1:9" ht="24" x14ac:dyDescent="0.25">
      <c r="A20" s="23" t="s">
        <v>2556</v>
      </c>
      <c r="B20" s="23" t="s">
        <v>2</v>
      </c>
      <c r="C20" s="32">
        <v>670000</v>
      </c>
      <c r="D20" s="32">
        <v>0</v>
      </c>
      <c r="E20" s="32">
        <f>E18+E19</f>
        <v>0</v>
      </c>
      <c r="F20" s="32">
        <f>F18+F19</f>
        <v>140000</v>
      </c>
      <c r="G20" s="32">
        <f>SUM(G18:G19)</f>
        <v>140000</v>
      </c>
      <c r="H20" s="32">
        <f>SUM(H18:H19)</f>
        <v>140000</v>
      </c>
      <c r="I20" s="29"/>
    </row>
    <row r="21" spans="1:9" x14ac:dyDescent="0.25">
      <c r="A21" s="23" t="s">
        <v>2</v>
      </c>
      <c r="B21" s="23" t="s">
        <v>2</v>
      </c>
      <c r="C21" s="23" t="s">
        <v>2</v>
      </c>
      <c r="D21" s="23" t="s">
        <v>2</v>
      </c>
      <c r="E21" s="23"/>
      <c r="F21" s="23"/>
      <c r="G21" s="23" t="s">
        <v>2</v>
      </c>
      <c r="H21" s="23" t="s">
        <v>2</v>
      </c>
      <c r="I21" s="29"/>
    </row>
    <row r="22" spans="1:9" x14ac:dyDescent="0.25">
      <c r="A22" s="23" t="s">
        <v>2047</v>
      </c>
      <c r="B22" s="23" t="s">
        <v>2</v>
      </c>
      <c r="C22" s="32">
        <v>671072.47</v>
      </c>
      <c r="D22" s="32">
        <v>849.51</v>
      </c>
      <c r="E22" s="32">
        <f>E15+E20</f>
        <v>2924.68</v>
      </c>
      <c r="F22" s="32">
        <f>F15+F20</f>
        <v>143899.57333333333</v>
      </c>
      <c r="G22" s="32">
        <f>G15+G20</f>
        <v>140000</v>
      </c>
      <c r="H22" s="32">
        <f>H15+H20</f>
        <v>140000</v>
      </c>
      <c r="I22" s="29"/>
    </row>
    <row r="23" spans="1:9" x14ac:dyDescent="0.25">
      <c r="A23" s="1" t="s">
        <v>740</v>
      </c>
      <c r="B23" s="1" t="s">
        <v>2</v>
      </c>
    </row>
    <row r="24" spans="1:9" x14ac:dyDescent="0.25">
      <c r="A24" s="2" t="s">
        <v>749</v>
      </c>
      <c r="B24" s="2" t="s">
        <v>750</v>
      </c>
      <c r="C24" s="3">
        <v>26730</v>
      </c>
      <c r="D24" s="3">
        <v>13365</v>
      </c>
      <c r="E24" s="3">
        <v>22275</v>
      </c>
      <c r="F24" s="3">
        <f>E24/9*12</f>
        <v>29700</v>
      </c>
      <c r="G24" s="3">
        <v>30000</v>
      </c>
      <c r="H24" s="5">
        <v>30000</v>
      </c>
    </row>
    <row r="25" spans="1:9" ht="15" customHeight="1" x14ac:dyDescent="0.25">
      <c r="A25" s="2" t="s">
        <v>751</v>
      </c>
      <c r="B25" s="2" t="s">
        <v>752</v>
      </c>
      <c r="C25" s="3">
        <v>6254.73</v>
      </c>
      <c r="D25" s="3">
        <v>2443.1999999999998</v>
      </c>
      <c r="E25" s="3">
        <v>4484.3999999999996</v>
      </c>
      <c r="F25" s="3">
        <f>E25/9*12</f>
        <v>5979.2</v>
      </c>
      <c r="G25" s="3">
        <v>35000</v>
      </c>
      <c r="H25" s="5">
        <v>35000</v>
      </c>
    </row>
    <row r="26" spans="1:9" ht="15" customHeight="1" x14ac:dyDescent="0.25">
      <c r="A26" s="2" t="s">
        <v>753</v>
      </c>
      <c r="B26" s="2" t="s">
        <v>754</v>
      </c>
      <c r="C26" s="3">
        <v>680</v>
      </c>
      <c r="D26" s="3">
        <v>3370</v>
      </c>
      <c r="E26" s="3">
        <v>3578</v>
      </c>
      <c r="F26" s="3">
        <f>E26/9*12</f>
        <v>4770.6666666666661</v>
      </c>
      <c r="G26" s="3">
        <v>5000</v>
      </c>
      <c r="H26" s="5">
        <v>5000</v>
      </c>
    </row>
    <row r="27" spans="1:9" ht="15" customHeight="1" x14ac:dyDescent="0.25">
      <c r="A27" s="1" t="s">
        <v>755</v>
      </c>
      <c r="B27" s="1" t="s">
        <v>2</v>
      </c>
      <c r="C27" s="4">
        <v>33664.730000000003</v>
      </c>
      <c r="D27" s="4">
        <v>19178.2</v>
      </c>
      <c r="E27" s="4">
        <f>SUM(E24:E26)</f>
        <v>30337.4</v>
      </c>
      <c r="F27" s="4">
        <f>SUM(F24:F26)</f>
        <v>40449.866666666661</v>
      </c>
      <c r="G27" s="6">
        <f>SUM(G24:G26)</f>
        <v>70000</v>
      </c>
      <c r="H27" s="6">
        <f>SUM(H24:H26)</f>
        <v>70000</v>
      </c>
    </row>
    <row r="28" spans="1:9" ht="15" customHeight="1" x14ac:dyDescent="0.25">
      <c r="A28" s="291" t="s">
        <v>2571</v>
      </c>
      <c r="B28" s="291"/>
      <c r="C28" s="294">
        <f t="shared" ref="C28:F28" si="0">C7+C22-C27</f>
        <v>1626745.3</v>
      </c>
      <c r="D28" s="294">
        <f t="shared" si="0"/>
        <v>1608416.61</v>
      </c>
      <c r="E28" s="294">
        <f t="shared" si="0"/>
        <v>1599332.58</v>
      </c>
      <c r="F28" s="294">
        <f t="shared" si="0"/>
        <v>1730195.0066666666</v>
      </c>
      <c r="G28" s="294">
        <f>G7+G22-G27</f>
        <v>1696745.3</v>
      </c>
      <c r="H28" s="294">
        <f>H7+H22-H27</f>
        <v>1800195.0066666666</v>
      </c>
      <c r="I28" s="291"/>
    </row>
    <row r="29" spans="1:9" x14ac:dyDescent="0.25">
      <c r="A29" s="1" t="s">
        <v>2</v>
      </c>
      <c r="B29" s="1" t="s">
        <v>2</v>
      </c>
      <c r="C29" s="1" t="s">
        <v>2</v>
      </c>
      <c r="D29" s="36"/>
      <c r="E29" s="36"/>
      <c r="F29" s="36"/>
      <c r="G29" s="1" t="s">
        <v>2</v>
      </c>
      <c r="H29" s="1" t="s">
        <v>2</v>
      </c>
    </row>
  </sheetData>
  <mergeCells count="2">
    <mergeCell ref="A2:I2"/>
    <mergeCell ref="A3:I3"/>
  </mergeCells>
  <printOptions headings="1"/>
  <pageMargins left="0.2" right="0.2" top="0.75" bottom="0.75" header="0.3" footer="0.3"/>
  <pageSetup paperSize="5" scale="89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C3DA7-AFBF-4720-80BA-291004E7B277}">
  <sheetPr>
    <tabColor rgb="FF92D050"/>
    <pageSetUpPr fitToPage="1"/>
  </sheetPr>
  <dimension ref="A1:M48"/>
  <sheetViews>
    <sheetView showGridLines="0" zoomScaleNormal="100" workbookViewId="0">
      <pane ySplit="5" topLeftCell="A41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4023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H7-F48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3552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x14ac:dyDescent="0.25">
      <c r="A7" s="291" t="s">
        <v>2572</v>
      </c>
      <c r="B7" s="291" t="s">
        <v>2</v>
      </c>
      <c r="C7" s="294">
        <v>2008236.58</v>
      </c>
      <c r="D7" s="294">
        <v>2856399.06</v>
      </c>
      <c r="E7" s="294">
        <v>2856399.06</v>
      </c>
      <c r="F7" s="294">
        <v>2856399.06</v>
      </c>
      <c r="G7" s="294">
        <v>2856399.06</v>
      </c>
      <c r="H7" s="294">
        <f>F48</f>
        <v>4044732.3</v>
      </c>
      <c r="I7" s="291"/>
    </row>
    <row r="8" spans="1:13" x14ac:dyDescent="0.25">
      <c r="A8" s="23" t="s">
        <v>756</v>
      </c>
      <c r="B8" s="23" t="s">
        <v>2</v>
      </c>
      <c r="C8" s="29"/>
      <c r="D8" s="29"/>
      <c r="E8" s="29"/>
      <c r="F8" s="29"/>
      <c r="G8" s="29"/>
      <c r="H8" s="29"/>
      <c r="I8" s="37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37"/>
    </row>
    <row r="10" spans="1:13" x14ac:dyDescent="0.25">
      <c r="A10" s="23" t="s">
        <v>2027</v>
      </c>
      <c r="B10" s="23" t="s">
        <v>2</v>
      </c>
      <c r="C10" s="29"/>
      <c r="D10" s="29"/>
      <c r="E10" s="29"/>
      <c r="F10" s="29"/>
      <c r="G10" s="29"/>
      <c r="H10" s="29"/>
      <c r="I10" s="37"/>
    </row>
    <row r="11" spans="1:13" ht="24" x14ac:dyDescent="0.25">
      <c r="A11" s="23" t="s">
        <v>2573</v>
      </c>
      <c r="B11" s="23" t="s">
        <v>2</v>
      </c>
      <c r="C11" s="29"/>
      <c r="D11" s="29"/>
      <c r="E11" s="29"/>
      <c r="F11" s="29"/>
      <c r="G11" s="29"/>
      <c r="H11" s="29"/>
      <c r="I11" s="37"/>
    </row>
    <row r="12" spans="1:13" x14ac:dyDescent="0.25">
      <c r="A12" s="30" t="s">
        <v>2574</v>
      </c>
      <c r="B12" s="30" t="s">
        <v>2575</v>
      </c>
      <c r="C12" s="31">
        <v>67499.02</v>
      </c>
      <c r="D12" s="31">
        <v>90815.039999999994</v>
      </c>
      <c r="E12" s="31">
        <v>112790.42</v>
      </c>
      <c r="F12" s="31">
        <f>E12/9*12</f>
        <v>150387.22666666665</v>
      </c>
      <c r="G12" s="31">
        <v>35000</v>
      </c>
      <c r="H12" s="31">
        <v>90000</v>
      </c>
      <c r="I12" s="37"/>
    </row>
    <row r="13" spans="1:13" x14ac:dyDescent="0.25">
      <c r="A13" s="30" t="s">
        <v>2576</v>
      </c>
      <c r="B13" s="30" t="s">
        <v>2577</v>
      </c>
      <c r="C13" s="31">
        <v>2620588.41</v>
      </c>
      <c r="D13" s="31">
        <v>1214787.96</v>
      </c>
      <c r="E13" s="31">
        <v>2552717.36</v>
      </c>
      <c r="F13" s="31">
        <f>E13/9*12</f>
        <v>3403623.1466666665</v>
      </c>
      <c r="G13" s="31">
        <v>2500000</v>
      </c>
      <c r="H13" s="31">
        <v>2600000</v>
      </c>
      <c r="I13" s="37"/>
    </row>
    <row r="14" spans="1:13" ht="24" x14ac:dyDescent="0.25">
      <c r="A14" s="23" t="s">
        <v>2578</v>
      </c>
      <c r="B14" s="23" t="s">
        <v>2</v>
      </c>
      <c r="C14" s="32">
        <v>2688087.43</v>
      </c>
      <c r="D14" s="32">
        <v>1305603</v>
      </c>
      <c r="E14" s="32">
        <f>E12+E13</f>
        <v>2665507.7799999998</v>
      </c>
      <c r="F14" s="32">
        <f>F12+F13</f>
        <v>3554010.3733333331</v>
      </c>
      <c r="G14" s="32">
        <f>SUM(G12:G13)</f>
        <v>2535000</v>
      </c>
      <c r="H14" s="32">
        <f>SUM(H12:H13)</f>
        <v>2690000</v>
      </c>
      <c r="I14" s="37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37"/>
    </row>
    <row r="16" spans="1:13" x14ac:dyDescent="0.25">
      <c r="A16" s="23" t="s">
        <v>2175</v>
      </c>
      <c r="B16" s="23" t="s">
        <v>2</v>
      </c>
      <c r="C16" s="29"/>
      <c r="D16" s="29"/>
      <c r="E16" s="29"/>
      <c r="F16" s="29"/>
      <c r="G16" s="29"/>
      <c r="H16" s="29"/>
      <c r="I16" s="37"/>
    </row>
    <row r="17" spans="1:9" x14ac:dyDescent="0.25">
      <c r="A17" s="23" t="s">
        <v>2176</v>
      </c>
      <c r="B17" s="23" t="s">
        <v>2</v>
      </c>
      <c r="C17" s="29"/>
      <c r="D17" s="29"/>
      <c r="E17" s="29"/>
      <c r="F17" s="29"/>
      <c r="G17" s="29"/>
      <c r="H17" s="29"/>
      <c r="I17" s="37"/>
    </row>
    <row r="18" spans="1:9" x14ac:dyDescent="0.25">
      <c r="A18" s="23" t="s">
        <v>2564</v>
      </c>
      <c r="B18" s="23" t="s">
        <v>2</v>
      </c>
      <c r="C18" s="29"/>
      <c r="D18" s="29"/>
      <c r="E18" s="29"/>
      <c r="F18" s="29"/>
      <c r="G18" s="29"/>
      <c r="H18" s="29"/>
      <c r="I18" s="37"/>
    </row>
    <row r="19" spans="1:9" x14ac:dyDescent="0.25">
      <c r="A19" s="30" t="s">
        <v>2579</v>
      </c>
      <c r="B19" s="30" t="s">
        <v>2409</v>
      </c>
      <c r="C19" s="31">
        <v>0</v>
      </c>
      <c r="D19" s="31">
        <v>1150.08</v>
      </c>
      <c r="E19" s="31">
        <v>5441.15</v>
      </c>
      <c r="F19" s="31">
        <f>E19/9*12</f>
        <v>7254.8666666666668</v>
      </c>
      <c r="G19" s="31">
        <v>0</v>
      </c>
      <c r="H19" s="31">
        <v>5000</v>
      </c>
      <c r="I19" s="37"/>
    </row>
    <row r="20" spans="1:9" ht="24" x14ac:dyDescent="0.25">
      <c r="A20" s="23" t="s">
        <v>2580</v>
      </c>
      <c r="B20" s="23" t="s">
        <v>2</v>
      </c>
      <c r="C20" s="32">
        <v>0</v>
      </c>
      <c r="D20" s="32">
        <v>1150.08</v>
      </c>
      <c r="E20" s="32">
        <f>E19</f>
        <v>5441.15</v>
      </c>
      <c r="F20" s="32">
        <f>F19</f>
        <v>7254.8666666666668</v>
      </c>
      <c r="G20" s="32">
        <f>SUM(G19)</f>
        <v>0</v>
      </c>
      <c r="H20" s="32">
        <f>SUM(H19)</f>
        <v>5000</v>
      </c>
      <c r="I20" s="37"/>
    </row>
    <row r="21" spans="1:9" x14ac:dyDescent="0.25">
      <c r="A21" s="23" t="s">
        <v>2</v>
      </c>
      <c r="B21" s="23" t="s">
        <v>2</v>
      </c>
      <c r="C21" s="23" t="s">
        <v>2</v>
      </c>
      <c r="D21" s="23" t="s">
        <v>2</v>
      </c>
      <c r="E21" s="23"/>
      <c r="F21" s="23"/>
      <c r="G21" s="23" t="s">
        <v>2</v>
      </c>
      <c r="H21" s="23" t="s">
        <v>2</v>
      </c>
      <c r="I21" s="37"/>
    </row>
    <row r="22" spans="1:9" ht="24" x14ac:dyDescent="0.25">
      <c r="A22" s="23" t="s">
        <v>2581</v>
      </c>
      <c r="B22" s="23" t="s">
        <v>2</v>
      </c>
      <c r="C22" s="29"/>
      <c r="D22" s="29"/>
      <c r="E22" s="29"/>
      <c r="F22" s="29"/>
      <c r="G22" s="29"/>
      <c r="H22" s="29"/>
      <c r="I22" s="37"/>
    </row>
    <row r="23" spans="1:9" x14ac:dyDescent="0.25">
      <c r="A23" s="23" t="s">
        <v>2582</v>
      </c>
      <c r="B23" s="23" t="s">
        <v>2</v>
      </c>
      <c r="C23" s="29"/>
      <c r="D23" s="29"/>
      <c r="E23" s="29"/>
      <c r="F23" s="29"/>
      <c r="G23" s="29"/>
      <c r="H23" s="29"/>
      <c r="I23" s="37"/>
    </row>
    <row r="24" spans="1:9" x14ac:dyDescent="0.25">
      <c r="A24" s="30" t="s">
        <v>2583</v>
      </c>
      <c r="B24" s="30" t="s">
        <v>2584</v>
      </c>
      <c r="C24" s="31">
        <v>0</v>
      </c>
      <c r="D24" s="31">
        <v>0</v>
      </c>
      <c r="E24" s="31">
        <v>0</v>
      </c>
      <c r="F24" s="31">
        <f>E24/9*12</f>
        <v>0</v>
      </c>
      <c r="G24" s="31">
        <v>0</v>
      </c>
      <c r="H24" s="31">
        <v>0</v>
      </c>
      <c r="I24" s="37"/>
    </row>
    <row r="25" spans="1:9" ht="24" x14ac:dyDescent="0.25">
      <c r="A25" s="23" t="s">
        <v>2585</v>
      </c>
      <c r="B25" s="23" t="s">
        <v>2</v>
      </c>
      <c r="C25" s="32">
        <v>0</v>
      </c>
      <c r="D25" s="32">
        <v>0</v>
      </c>
      <c r="E25" s="32">
        <f>-E24</f>
        <v>0</v>
      </c>
      <c r="F25" s="32">
        <f>-F24</f>
        <v>0</v>
      </c>
      <c r="G25" s="32">
        <f>SUM(G24)</f>
        <v>0</v>
      </c>
      <c r="H25" s="32">
        <f>SUM(H24)</f>
        <v>0</v>
      </c>
      <c r="I25" s="37"/>
    </row>
    <row r="26" spans="1:9" x14ac:dyDescent="0.25">
      <c r="A26" s="23" t="s">
        <v>2</v>
      </c>
      <c r="B26" s="23" t="s">
        <v>2</v>
      </c>
      <c r="C26" s="23" t="s">
        <v>2</v>
      </c>
      <c r="D26" s="23" t="s">
        <v>2</v>
      </c>
      <c r="E26" s="23"/>
      <c r="F26" s="23"/>
      <c r="G26" s="23" t="s">
        <v>2</v>
      </c>
      <c r="H26" s="23" t="s">
        <v>2</v>
      </c>
      <c r="I26" s="37"/>
    </row>
    <row r="27" spans="1:9" ht="24" x14ac:dyDescent="0.25">
      <c r="A27" s="23" t="s">
        <v>2180</v>
      </c>
      <c r="B27" s="23" t="s">
        <v>2</v>
      </c>
      <c r="C27" s="32">
        <v>0</v>
      </c>
      <c r="D27" s="32">
        <v>1150.08</v>
      </c>
      <c r="E27" s="32">
        <f>E20+E25</f>
        <v>5441.15</v>
      </c>
      <c r="F27" s="32">
        <f>F20+F25</f>
        <v>7254.8666666666668</v>
      </c>
      <c r="G27" s="32">
        <f>G20+G25</f>
        <v>0</v>
      </c>
      <c r="H27" s="32">
        <f>H20+H25</f>
        <v>5000</v>
      </c>
      <c r="I27" s="37"/>
    </row>
    <row r="28" spans="1:9" x14ac:dyDescent="0.25">
      <c r="A28" s="23" t="s">
        <v>2</v>
      </c>
      <c r="B28" s="23" t="s">
        <v>2</v>
      </c>
      <c r="C28" s="23" t="s">
        <v>2</v>
      </c>
      <c r="D28" s="23" t="s">
        <v>2</v>
      </c>
      <c r="E28" s="23"/>
      <c r="F28" s="23"/>
      <c r="G28" s="23" t="s">
        <v>2</v>
      </c>
      <c r="H28" s="23" t="s">
        <v>2</v>
      </c>
      <c r="I28" s="37"/>
    </row>
    <row r="29" spans="1:9" x14ac:dyDescent="0.25">
      <c r="A29" s="23" t="s">
        <v>2</v>
      </c>
      <c r="B29" s="23" t="s">
        <v>2</v>
      </c>
      <c r="C29" s="23" t="s">
        <v>2</v>
      </c>
      <c r="D29" s="23" t="s">
        <v>2</v>
      </c>
      <c r="E29" s="23"/>
      <c r="F29" s="23"/>
      <c r="G29" s="23" t="s">
        <v>2</v>
      </c>
      <c r="H29" s="23" t="s">
        <v>2</v>
      </c>
      <c r="I29" s="37"/>
    </row>
    <row r="30" spans="1:9" x14ac:dyDescent="0.25">
      <c r="A30" s="109" t="s">
        <v>2586</v>
      </c>
      <c r="B30" s="109" t="s">
        <v>2587</v>
      </c>
      <c r="C30" s="110">
        <v>0</v>
      </c>
      <c r="D30" s="110">
        <v>0</v>
      </c>
      <c r="E30" s="110">
        <v>0</v>
      </c>
      <c r="F30" s="110">
        <v>0</v>
      </c>
      <c r="G30" s="110">
        <v>0</v>
      </c>
      <c r="H30" s="110">
        <f>Transfers!$C$21</f>
        <v>0</v>
      </c>
      <c r="I30" s="112"/>
    </row>
    <row r="31" spans="1:9" x14ac:dyDescent="0.25">
      <c r="A31" s="109" t="s">
        <v>2588</v>
      </c>
      <c r="B31" s="109" t="s">
        <v>2589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0">
        <f>Transfers!$C$22</f>
        <v>0</v>
      </c>
      <c r="I31" s="112"/>
    </row>
    <row r="32" spans="1:9" x14ac:dyDescent="0.25">
      <c r="A32" s="23" t="s">
        <v>2047</v>
      </c>
      <c r="B32" s="23" t="s">
        <v>2</v>
      </c>
      <c r="C32" s="32">
        <v>2688087.43</v>
      </c>
      <c r="D32" s="32">
        <v>1306753.08</v>
      </c>
      <c r="E32" s="32">
        <f>E14+E27</f>
        <v>2670948.9299999997</v>
      </c>
      <c r="F32" s="32">
        <f>F14+F27</f>
        <v>3561265.2399999998</v>
      </c>
      <c r="G32" s="32">
        <f>G14+G27+SUM(G30:G31)</f>
        <v>2535000</v>
      </c>
      <c r="H32" s="32">
        <f>H14+H27+SUM(H30:H31)</f>
        <v>2695000</v>
      </c>
      <c r="I32" s="37"/>
    </row>
    <row r="33" spans="1:9" x14ac:dyDescent="0.25">
      <c r="A33" s="1" t="s">
        <v>740</v>
      </c>
      <c r="B33" s="1" t="s">
        <v>2</v>
      </c>
      <c r="C33" s="1" t="s">
        <v>2</v>
      </c>
      <c r="D33" s="1" t="s">
        <v>2</v>
      </c>
      <c r="E33" s="1"/>
      <c r="F33" s="1"/>
      <c r="G33" s="1" t="s">
        <v>2</v>
      </c>
      <c r="H33" s="1" t="s">
        <v>2</v>
      </c>
    </row>
    <row r="34" spans="1:9" ht="15" customHeight="1" x14ac:dyDescent="0.25">
      <c r="A34" s="109" t="s">
        <v>757</v>
      </c>
      <c r="B34" s="109" t="s">
        <v>742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0">
        <f>Transfers!$C$7</f>
        <v>0</v>
      </c>
      <c r="I34" s="108"/>
    </row>
    <row r="35" spans="1:9" ht="15" customHeight="1" x14ac:dyDescent="0.25">
      <c r="A35" s="109" t="s">
        <v>758</v>
      </c>
      <c r="B35" s="109" t="s">
        <v>759</v>
      </c>
      <c r="C35" s="110">
        <v>100000</v>
      </c>
      <c r="D35" s="110">
        <v>0</v>
      </c>
      <c r="E35" s="110">
        <v>0</v>
      </c>
      <c r="F35" s="110">
        <v>100000</v>
      </c>
      <c r="G35" s="110">
        <v>100000</v>
      </c>
      <c r="H35" s="110">
        <f>Transfers!$C$19</f>
        <v>100000</v>
      </c>
      <c r="I35" s="108"/>
    </row>
    <row r="36" spans="1:9" ht="15" customHeight="1" x14ac:dyDescent="0.25">
      <c r="A36" s="109" t="s">
        <v>760</v>
      </c>
      <c r="B36" s="109" t="s">
        <v>761</v>
      </c>
      <c r="C36" s="110">
        <v>0</v>
      </c>
      <c r="D36" s="110">
        <v>0</v>
      </c>
      <c r="E36" s="110">
        <v>0</v>
      </c>
      <c r="F36" s="110">
        <v>20000</v>
      </c>
      <c r="G36" s="110">
        <v>20000</v>
      </c>
      <c r="H36" s="110">
        <f>Transfers!$C$81</f>
        <v>0</v>
      </c>
      <c r="I36" s="108"/>
    </row>
    <row r="37" spans="1:9" ht="15" customHeight="1" x14ac:dyDescent="0.25">
      <c r="A37" s="109" t="s">
        <v>762</v>
      </c>
      <c r="B37" s="109" t="s">
        <v>763</v>
      </c>
      <c r="C37" s="110">
        <v>770000</v>
      </c>
      <c r="D37" s="110">
        <v>187000</v>
      </c>
      <c r="E37" s="110">
        <v>262000</v>
      </c>
      <c r="F37" s="110">
        <v>1275000</v>
      </c>
      <c r="G37" s="110">
        <v>1275000</v>
      </c>
      <c r="H37" s="110">
        <f>Transfers!$C$27</f>
        <v>1000000</v>
      </c>
      <c r="I37" s="108"/>
    </row>
    <row r="38" spans="1:9" ht="15" customHeight="1" x14ac:dyDescent="0.25">
      <c r="A38" s="109" t="s">
        <v>764</v>
      </c>
      <c r="B38" s="109" t="s">
        <v>765</v>
      </c>
      <c r="C38" s="110">
        <v>45312.5</v>
      </c>
      <c r="D38" s="110">
        <v>0</v>
      </c>
      <c r="E38" s="110">
        <v>0</v>
      </c>
      <c r="F38" s="110">
        <v>49425</v>
      </c>
      <c r="G38" s="110">
        <v>49425</v>
      </c>
      <c r="H38" s="110">
        <f>Transfers!$C$38</f>
        <v>50000</v>
      </c>
      <c r="I38" s="108"/>
    </row>
    <row r="39" spans="1:9" ht="15" customHeight="1" x14ac:dyDescent="0.25">
      <c r="A39" s="109" t="s">
        <v>766</v>
      </c>
      <c r="B39" s="109" t="s">
        <v>767</v>
      </c>
      <c r="C39" s="110">
        <v>77066.22</v>
      </c>
      <c r="D39" s="110">
        <v>0</v>
      </c>
      <c r="E39" s="110">
        <v>0</v>
      </c>
      <c r="F39" s="110">
        <v>0</v>
      </c>
      <c r="G39" s="110">
        <v>0</v>
      </c>
      <c r="H39" s="110">
        <f>Transfers!$C$40</f>
        <v>0</v>
      </c>
      <c r="I39" s="108"/>
    </row>
    <row r="40" spans="1:9" x14ac:dyDescent="0.25">
      <c r="A40" s="109" t="s">
        <v>768</v>
      </c>
      <c r="B40" s="109" t="s">
        <v>769</v>
      </c>
      <c r="C40" s="110">
        <v>190492.79999999999</v>
      </c>
      <c r="D40" s="110">
        <v>0</v>
      </c>
      <c r="E40" s="110">
        <v>0</v>
      </c>
      <c r="F40" s="110">
        <v>201732</v>
      </c>
      <c r="G40" s="110">
        <v>201732</v>
      </c>
      <c r="H40" s="110">
        <f>Transfers!$C$41</f>
        <v>200000</v>
      </c>
      <c r="I40" s="108"/>
    </row>
    <row r="41" spans="1:9" x14ac:dyDescent="0.25">
      <c r="A41" s="109" t="s">
        <v>770</v>
      </c>
      <c r="B41" s="109" t="s">
        <v>771</v>
      </c>
      <c r="C41" s="110">
        <v>79400</v>
      </c>
      <c r="D41" s="110">
        <v>0</v>
      </c>
      <c r="E41" s="110">
        <v>18445.66</v>
      </c>
      <c r="F41" s="110">
        <v>81800</v>
      </c>
      <c r="G41" s="110">
        <v>81800</v>
      </c>
      <c r="H41" s="110">
        <f>Transfers!$C$45</f>
        <v>85000</v>
      </c>
      <c r="I41" s="108"/>
    </row>
    <row r="42" spans="1:9" x14ac:dyDescent="0.25">
      <c r="A42" s="109" t="s">
        <v>772</v>
      </c>
      <c r="B42" s="109" t="s">
        <v>773</v>
      </c>
      <c r="C42" s="110">
        <v>57369</v>
      </c>
      <c r="D42" s="110">
        <v>0</v>
      </c>
      <c r="E42" s="110">
        <v>28097.26</v>
      </c>
      <c r="F42" s="110">
        <v>56195</v>
      </c>
      <c r="G42" s="110">
        <v>56195</v>
      </c>
      <c r="H42" s="110">
        <f>Transfers!$C$47</f>
        <v>50000</v>
      </c>
      <c r="I42" s="108"/>
    </row>
    <row r="43" spans="1:9" x14ac:dyDescent="0.25">
      <c r="A43" s="109" t="s">
        <v>774</v>
      </c>
      <c r="B43" s="109" t="s">
        <v>775</v>
      </c>
      <c r="C43" s="110">
        <v>0</v>
      </c>
      <c r="D43" s="110">
        <v>0</v>
      </c>
      <c r="E43" s="110">
        <v>0</v>
      </c>
      <c r="F43" s="110">
        <v>23000</v>
      </c>
      <c r="G43" s="110">
        <v>23000</v>
      </c>
      <c r="H43" s="110">
        <f>Transfers!$C$24</f>
        <v>0</v>
      </c>
      <c r="I43" s="108"/>
    </row>
    <row r="44" spans="1:9" x14ac:dyDescent="0.25">
      <c r="A44" s="109" t="s">
        <v>776</v>
      </c>
      <c r="B44" s="109" t="s">
        <v>777</v>
      </c>
      <c r="C44" s="110">
        <v>20284.43</v>
      </c>
      <c r="D44" s="110">
        <v>0</v>
      </c>
      <c r="E44" s="110">
        <v>14352.87</v>
      </c>
      <c r="F44" s="110">
        <v>15780</v>
      </c>
      <c r="G44" s="110">
        <v>15780</v>
      </c>
      <c r="H44" s="110">
        <f>Transfers!$C$73</f>
        <v>15000</v>
      </c>
      <c r="I44" s="108"/>
    </row>
    <row r="45" spans="1:9" x14ac:dyDescent="0.25">
      <c r="A45" s="109" t="s">
        <v>778</v>
      </c>
      <c r="B45" s="109" t="s">
        <v>779</v>
      </c>
      <c r="C45" s="110">
        <v>500000</v>
      </c>
      <c r="D45" s="110">
        <v>0</v>
      </c>
      <c r="E45" s="110">
        <v>0</v>
      </c>
      <c r="F45" s="110">
        <v>500000</v>
      </c>
      <c r="G45" s="110">
        <v>500000</v>
      </c>
      <c r="H45" s="110">
        <f>Transfers!$C$17</f>
        <v>500000</v>
      </c>
      <c r="I45" s="108"/>
    </row>
    <row r="46" spans="1:9" ht="15" customHeight="1" x14ac:dyDescent="0.25">
      <c r="A46" s="109" t="s">
        <v>780</v>
      </c>
      <c r="B46" s="109" t="s">
        <v>781</v>
      </c>
      <c r="C46" s="110">
        <v>0</v>
      </c>
      <c r="D46" s="110">
        <v>0</v>
      </c>
      <c r="E46" s="110">
        <v>0</v>
      </c>
      <c r="F46" s="110">
        <v>50000</v>
      </c>
      <c r="G46" s="110">
        <v>50000</v>
      </c>
      <c r="H46" s="110">
        <f>Transfers!$C$166</f>
        <v>0</v>
      </c>
      <c r="I46" s="108"/>
    </row>
    <row r="47" spans="1:9" ht="15" customHeight="1" x14ac:dyDescent="0.25">
      <c r="A47" s="1" t="s">
        <v>782</v>
      </c>
      <c r="B47" s="1" t="s">
        <v>2</v>
      </c>
      <c r="C47" s="4">
        <v>1839924.95</v>
      </c>
      <c r="D47" s="4">
        <v>187000</v>
      </c>
      <c r="E47" s="4">
        <f>SUM(E34:E46)</f>
        <v>322895.78999999998</v>
      </c>
      <c r="F47" s="4">
        <f>SUM(F34:F46)</f>
        <v>2372932</v>
      </c>
      <c r="G47" s="4">
        <f>SUM(G34:G46)</f>
        <v>2372932</v>
      </c>
      <c r="H47" s="4">
        <f>SUM(H34:H46)</f>
        <v>2000000</v>
      </c>
    </row>
    <row r="48" spans="1:9" ht="15" customHeight="1" x14ac:dyDescent="0.25">
      <c r="A48" s="291" t="s">
        <v>2590</v>
      </c>
      <c r="B48" s="291"/>
      <c r="C48" s="294">
        <f>C7+C32-C47</f>
        <v>2856399.0599999996</v>
      </c>
      <c r="D48" s="294">
        <f t="shared" ref="D48:H48" si="0">D7+D32-D47</f>
        <v>3976152.14</v>
      </c>
      <c r="E48" s="294">
        <f t="shared" si="0"/>
        <v>5204452.2</v>
      </c>
      <c r="F48" s="294">
        <f t="shared" si="0"/>
        <v>4044732.3</v>
      </c>
      <c r="G48" s="294">
        <f t="shared" si="0"/>
        <v>3018467.0600000005</v>
      </c>
      <c r="H48" s="294">
        <f t="shared" si="0"/>
        <v>4739732.3</v>
      </c>
      <c r="I48" s="295"/>
    </row>
  </sheetData>
  <mergeCells count="2">
    <mergeCell ref="A2:I2"/>
    <mergeCell ref="A3:I3"/>
  </mergeCells>
  <printOptions headings="1"/>
  <pageMargins left="0.2" right="0.2" top="0.75" bottom="0.75" header="0.3" footer="0.3"/>
  <pageSetup paperSize="5" scale="89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A5829-BE16-44E8-BEFB-53D9A1D20F52}">
  <sheetPr>
    <tabColor rgb="FF92D050"/>
    <pageSetUpPr fitToPage="1"/>
  </sheetPr>
  <dimension ref="A1:M35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4022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H7-F35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3552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2591</v>
      </c>
      <c r="B7" s="291" t="s">
        <v>2</v>
      </c>
      <c r="C7" s="294">
        <v>29464.76</v>
      </c>
      <c r="D7" s="294">
        <v>28172.7</v>
      </c>
      <c r="E7" s="294">
        <v>28172.7</v>
      </c>
      <c r="F7" s="294">
        <v>28172.7</v>
      </c>
      <c r="G7" s="294">
        <v>28172.7</v>
      </c>
      <c r="H7" s="294">
        <f>F35</f>
        <v>59482.246666666666</v>
      </c>
      <c r="I7" s="291"/>
    </row>
    <row r="8" spans="1:13" ht="24" x14ac:dyDescent="0.25">
      <c r="A8" s="23" t="s">
        <v>783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/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2592</v>
      </c>
      <c r="B10" s="30" t="s">
        <v>2593</v>
      </c>
      <c r="C10" s="31">
        <v>20745.09</v>
      </c>
      <c r="D10" s="31">
        <v>19090</v>
      </c>
      <c r="E10" s="31">
        <v>28405</v>
      </c>
      <c r="F10" s="31">
        <f>E10/9*12</f>
        <v>37873.333333333336</v>
      </c>
      <c r="G10" s="31">
        <v>2500</v>
      </c>
      <c r="H10" s="31">
        <v>20000</v>
      </c>
      <c r="I10" s="29"/>
    </row>
    <row r="11" spans="1:13" x14ac:dyDescent="0.25">
      <c r="A11" s="30" t="s">
        <v>2594</v>
      </c>
      <c r="B11" s="30" t="s">
        <v>2595</v>
      </c>
      <c r="C11" s="31">
        <v>0</v>
      </c>
      <c r="D11" s="31">
        <v>0</v>
      </c>
      <c r="E11" s="31">
        <v>0</v>
      </c>
      <c r="F11" s="31">
        <f t="shared" ref="F11:F12" si="0">E11/9*12</f>
        <v>0</v>
      </c>
      <c r="G11" s="31">
        <v>0</v>
      </c>
      <c r="H11" s="31">
        <v>0</v>
      </c>
      <c r="I11" s="29"/>
    </row>
    <row r="12" spans="1:13" x14ac:dyDescent="0.25">
      <c r="A12" s="30" t="s">
        <v>2596</v>
      </c>
      <c r="B12" s="30" t="s">
        <v>2597</v>
      </c>
      <c r="C12" s="31">
        <v>0</v>
      </c>
      <c r="D12" s="31">
        <v>0</v>
      </c>
      <c r="E12" s="31">
        <v>0</v>
      </c>
      <c r="F12" s="31">
        <f t="shared" si="0"/>
        <v>0</v>
      </c>
      <c r="G12" s="31">
        <v>0</v>
      </c>
      <c r="H12" s="31">
        <v>0</v>
      </c>
      <c r="I12" s="29"/>
    </row>
    <row r="13" spans="1:13" x14ac:dyDescent="0.25">
      <c r="A13" s="109" t="s">
        <v>2598</v>
      </c>
      <c r="B13" s="109" t="s">
        <v>2599</v>
      </c>
      <c r="C13" s="110">
        <v>0</v>
      </c>
      <c r="D13" s="110">
        <v>0</v>
      </c>
      <c r="E13" s="110">
        <v>0</v>
      </c>
      <c r="F13" s="110">
        <v>0</v>
      </c>
      <c r="G13" s="110">
        <v>0</v>
      </c>
      <c r="H13" s="110">
        <f>Transfers!$C$23</f>
        <v>0</v>
      </c>
      <c r="I13" s="108"/>
    </row>
    <row r="14" spans="1:13" x14ac:dyDescent="0.25">
      <c r="A14" s="109" t="s">
        <v>2600</v>
      </c>
      <c r="B14" s="109" t="s">
        <v>2601</v>
      </c>
      <c r="C14" s="110">
        <v>0</v>
      </c>
      <c r="D14" s="110">
        <v>0</v>
      </c>
      <c r="E14" s="110">
        <v>0</v>
      </c>
      <c r="F14" s="110">
        <v>23000</v>
      </c>
      <c r="G14" s="110">
        <v>23000</v>
      </c>
      <c r="H14" s="110">
        <f>Transfers!$C$24</f>
        <v>0</v>
      </c>
      <c r="I14" s="108"/>
    </row>
    <row r="15" spans="1:13" x14ac:dyDescent="0.25">
      <c r="A15" s="109" t="s">
        <v>2602</v>
      </c>
      <c r="B15" s="109" t="s">
        <v>2603</v>
      </c>
      <c r="C15" s="110">
        <v>0</v>
      </c>
      <c r="D15" s="110">
        <v>0</v>
      </c>
      <c r="E15" s="110">
        <v>0</v>
      </c>
      <c r="F15" s="110">
        <v>0</v>
      </c>
      <c r="G15" s="110">
        <v>0</v>
      </c>
      <c r="H15" s="110">
        <f>Transfers!$C$25</f>
        <v>0</v>
      </c>
      <c r="I15" s="108"/>
    </row>
    <row r="16" spans="1:13" x14ac:dyDescent="0.25">
      <c r="A16" s="30" t="s">
        <v>2604</v>
      </c>
      <c r="B16" s="30" t="s">
        <v>2539</v>
      </c>
      <c r="C16" s="31">
        <v>9517.41</v>
      </c>
      <c r="D16" s="31">
        <v>5400</v>
      </c>
      <c r="E16" s="31">
        <v>8450</v>
      </c>
      <c r="F16" s="31">
        <f t="shared" ref="F16" si="1">E16/9*12</f>
        <v>11266.666666666668</v>
      </c>
      <c r="G16" s="31">
        <v>10000</v>
      </c>
      <c r="H16" s="31">
        <v>10000</v>
      </c>
      <c r="I16" s="29"/>
    </row>
    <row r="17" spans="1:9" ht="24" x14ac:dyDescent="0.25">
      <c r="A17" s="23" t="s">
        <v>804</v>
      </c>
      <c r="B17" s="23" t="s">
        <v>2</v>
      </c>
      <c r="C17" s="32">
        <v>30262.5</v>
      </c>
      <c r="D17" s="32">
        <v>24490</v>
      </c>
      <c r="E17" s="32">
        <f>SUM(E10:E16)</f>
        <v>36855</v>
      </c>
      <c r="F17" s="32">
        <f>SUM(F10:F16)</f>
        <v>72140</v>
      </c>
      <c r="G17" s="32">
        <f>SUM(G10:G16)</f>
        <v>35500</v>
      </c>
      <c r="H17" s="32">
        <f>SUM(H10:H16)</f>
        <v>30000</v>
      </c>
      <c r="I17" s="29"/>
    </row>
    <row r="18" spans="1:9" ht="15" customHeight="1" x14ac:dyDescent="0.25">
      <c r="A18" s="1" t="s">
        <v>740</v>
      </c>
      <c r="B18" s="1" t="s">
        <v>2</v>
      </c>
    </row>
    <row r="19" spans="1:9" ht="15" customHeight="1" x14ac:dyDescent="0.25">
      <c r="A19" s="2" t="s">
        <v>784</v>
      </c>
      <c r="B19" s="2" t="s">
        <v>108</v>
      </c>
      <c r="C19" s="3">
        <v>3850.44</v>
      </c>
      <c r="D19" s="3">
        <v>2148.44</v>
      </c>
      <c r="E19" s="3">
        <v>4931.84</v>
      </c>
      <c r="F19" s="3">
        <f>E19/9*12</f>
        <v>6575.7866666666669</v>
      </c>
      <c r="G19" s="3">
        <v>1007.63</v>
      </c>
      <c r="H19" s="302">
        <v>3712.98</v>
      </c>
    </row>
    <row r="20" spans="1:9" ht="15" customHeight="1" x14ac:dyDescent="0.25">
      <c r="A20" s="2" t="s">
        <v>785</v>
      </c>
      <c r="B20" s="2" t="s">
        <v>786</v>
      </c>
      <c r="C20" s="3">
        <v>0</v>
      </c>
      <c r="D20" s="3">
        <v>0</v>
      </c>
      <c r="E20" s="3">
        <v>202.34</v>
      </c>
      <c r="F20" s="3">
        <f t="shared" ref="F20:F33" si="2">E20/9*12</f>
        <v>269.78666666666669</v>
      </c>
      <c r="G20" s="3">
        <v>0</v>
      </c>
      <c r="H20" s="302">
        <v>0</v>
      </c>
    </row>
    <row r="21" spans="1:9" ht="15" customHeight="1" x14ac:dyDescent="0.25">
      <c r="A21" s="2" t="s">
        <v>787</v>
      </c>
      <c r="B21" s="2" t="s">
        <v>29</v>
      </c>
      <c r="C21" s="3">
        <v>713.36</v>
      </c>
      <c r="D21" s="3">
        <v>452.07</v>
      </c>
      <c r="E21" s="3">
        <v>1230.05</v>
      </c>
      <c r="F21" s="3">
        <f t="shared" si="2"/>
        <v>1640.0666666666666</v>
      </c>
      <c r="G21" s="3">
        <v>197.1</v>
      </c>
      <c r="H21" s="302">
        <v>849.59</v>
      </c>
    </row>
    <row r="22" spans="1:9" ht="15" customHeight="1" x14ac:dyDescent="0.25">
      <c r="A22" s="2" t="s">
        <v>788</v>
      </c>
      <c r="B22" s="2" t="s">
        <v>31</v>
      </c>
      <c r="C22" s="3">
        <v>82.78</v>
      </c>
      <c r="D22" s="3">
        <v>30.31</v>
      </c>
      <c r="E22" s="3">
        <v>80.430000000000007</v>
      </c>
      <c r="F22" s="3">
        <f t="shared" si="2"/>
        <v>107.24000000000001</v>
      </c>
      <c r="G22" s="3">
        <v>19.73</v>
      </c>
      <c r="H22" s="302">
        <v>60.99</v>
      </c>
    </row>
    <row r="23" spans="1:9" ht="15" customHeight="1" x14ac:dyDescent="0.25">
      <c r="A23" s="2" t="s">
        <v>789</v>
      </c>
      <c r="B23" s="2" t="s">
        <v>790</v>
      </c>
      <c r="C23" s="3">
        <v>518.70000000000005</v>
      </c>
      <c r="D23" s="3">
        <v>260</v>
      </c>
      <c r="E23" s="3">
        <v>600.39</v>
      </c>
      <c r="F23" s="3">
        <f t="shared" si="2"/>
        <v>800.52</v>
      </c>
      <c r="G23" s="3">
        <v>119.48</v>
      </c>
      <c r="H23" s="302">
        <v>385.78</v>
      </c>
    </row>
    <row r="24" spans="1:9" ht="15" customHeight="1" x14ac:dyDescent="0.25">
      <c r="A24" s="2" t="s">
        <v>791</v>
      </c>
      <c r="B24" s="2" t="s">
        <v>792</v>
      </c>
      <c r="C24" s="3">
        <v>292.37</v>
      </c>
      <c r="D24" s="3">
        <v>163.52000000000001</v>
      </c>
      <c r="E24" s="3">
        <v>374</v>
      </c>
      <c r="F24" s="3">
        <f t="shared" si="2"/>
        <v>498.66666666666669</v>
      </c>
      <c r="G24" s="3">
        <v>77.08</v>
      </c>
      <c r="H24" s="302">
        <v>284.04000000000002</v>
      </c>
    </row>
    <row r="25" spans="1:9" ht="15" customHeight="1" x14ac:dyDescent="0.25">
      <c r="A25" s="2" t="s">
        <v>793</v>
      </c>
      <c r="B25" s="2" t="s">
        <v>543</v>
      </c>
      <c r="C25" s="3">
        <v>0</v>
      </c>
      <c r="D25" s="3">
        <v>0</v>
      </c>
      <c r="E25" s="3">
        <v>0</v>
      </c>
      <c r="F25" s="3">
        <f t="shared" si="2"/>
        <v>0</v>
      </c>
      <c r="G25" s="3">
        <v>0</v>
      </c>
      <c r="H25" s="302">
        <v>0</v>
      </c>
    </row>
    <row r="26" spans="1:9" ht="15" customHeight="1" x14ac:dyDescent="0.25">
      <c r="A26" s="2" t="s">
        <v>794</v>
      </c>
      <c r="B26" s="2" t="s">
        <v>13</v>
      </c>
      <c r="C26" s="3">
        <v>5.58</v>
      </c>
      <c r="D26" s="3">
        <v>4.7300000000000004</v>
      </c>
      <c r="E26" s="3">
        <v>11.23</v>
      </c>
      <c r="F26" s="3">
        <f t="shared" si="2"/>
        <v>14.973333333333334</v>
      </c>
      <c r="G26" s="3">
        <v>1.48</v>
      </c>
      <c r="H26" s="302">
        <v>8.16</v>
      </c>
    </row>
    <row r="27" spans="1:9" ht="15" customHeight="1" x14ac:dyDescent="0.25">
      <c r="A27" s="2" t="s">
        <v>795</v>
      </c>
      <c r="B27" s="2" t="s">
        <v>577</v>
      </c>
      <c r="C27" s="3">
        <v>0</v>
      </c>
      <c r="D27" s="3">
        <v>0</v>
      </c>
      <c r="E27" s="3">
        <v>3.82</v>
      </c>
      <c r="F27" s="3">
        <f t="shared" si="2"/>
        <v>5.0933333333333328</v>
      </c>
      <c r="G27" s="3">
        <v>0</v>
      </c>
      <c r="H27" s="302">
        <f t="shared" ref="H27:H29" si="3">G27*1.055</f>
        <v>0</v>
      </c>
    </row>
    <row r="28" spans="1:9" ht="15" customHeight="1" x14ac:dyDescent="0.25">
      <c r="A28" s="2" t="s">
        <v>796</v>
      </c>
      <c r="B28" s="2" t="s">
        <v>579</v>
      </c>
      <c r="C28" s="3">
        <v>0</v>
      </c>
      <c r="D28" s="3">
        <v>0</v>
      </c>
      <c r="E28" s="3">
        <v>25.1</v>
      </c>
      <c r="F28" s="3">
        <f t="shared" si="2"/>
        <v>33.466666666666669</v>
      </c>
      <c r="G28" s="3">
        <v>0</v>
      </c>
      <c r="H28" s="302">
        <f t="shared" si="3"/>
        <v>0</v>
      </c>
    </row>
    <row r="29" spans="1:9" ht="15" customHeight="1" x14ac:dyDescent="0.25">
      <c r="A29" s="2" t="s">
        <v>797</v>
      </c>
      <c r="B29" s="2" t="s">
        <v>581</v>
      </c>
      <c r="C29" s="3">
        <v>0</v>
      </c>
      <c r="D29" s="3">
        <v>0</v>
      </c>
      <c r="E29" s="3">
        <v>15.02</v>
      </c>
      <c r="F29" s="3">
        <f t="shared" si="2"/>
        <v>20.026666666666667</v>
      </c>
      <c r="G29" s="3">
        <v>0</v>
      </c>
      <c r="H29" s="302">
        <f t="shared" si="3"/>
        <v>0</v>
      </c>
    </row>
    <row r="30" spans="1:9" ht="15" customHeight="1" x14ac:dyDescent="0.25">
      <c r="A30" s="2" t="s">
        <v>798</v>
      </c>
      <c r="B30" s="2" t="s">
        <v>799</v>
      </c>
      <c r="C30" s="3">
        <v>9272.4699999999993</v>
      </c>
      <c r="D30" s="3">
        <v>4141</v>
      </c>
      <c r="E30" s="3">
        <v>9981.26</v>
      </c>
      <c r="F30" s="3">
        <f t="shared" si="2"/>
        <v>13308.346666666668</v>
      </c>
      <c r="G30" s="3">
        <v>20000</v>
      </c>
      <c r="H30" s="302">
        <v>20000</v>
      </c>
    </row>
    <row r="31" spans="1:9" ht="15" customHeight="1" x14ac:dyDescent="0.25">
      <c r="A31" s="2" t="s">
        <v>800</v>
      </c>
      <c r="B31" s="2" t="s">
        <v>64</v>
      </c>
      <c r="C31" s="3">
        <v>12871.45</v>
      </c>
      <c r="D31" s="3">
        <v>5226.5</v>
      </c>
      <c r="E31" s="3">
        <v>9553.36</v>
      </c>
      <c r="F31" s="3">
        <f t="shared" si="2"/>
        <v>12737.813333333335</v>
      </c>
      <c r="G31" s="3">
        <v>15000</v>
      </c>
      <c r="H31" s="5">
        <v>15000</v>
      </c>
    </row>
    <row r="32" spans="1:9" ht="15" customHeight="1" x14ac:dyDescent="0.25">
      <c r="A32" s="2" t="s">
        <v>801</v>
      </c>
      <c r="B32" s="2" t="s">
        <v>802</v>
      </c>
      <c r="C32" s="3">
        <v>0</v>
      </c>
      <c r="D32" s="3">
        <v>0</v>
      </c>
      <c r="E32" s="3">
        <v>0</v>
      </c>
      <c r="F32" s="3">
        <f t="shared" si="2"/>
        <v>0</v>
      </c>
      <c r="G32" s="3">
        <v>0</v>
      </c>
      <c r="H32" s="5">
        <v>0</v>
      </c>
    </row>
    <row r="33" spans="1:9" ht="15" customHeight="1" x14ac:dyDescent="0.25">
      <c r="A33" s="2" t="s">
        <v>803</v>
      </c>
      <c r="B33" s="2" t="s">
        <v>700</v>
      </c>
      <c r="C33" s="3">
        <v>3947.41</v>
      </c>
      <c r="D33" s="3">
        <v>1400</v>
      </c>
      <c r="E33" s="3">
        <v>3614</v>
      </c>
      <c r="F33" s="3">
        <f t="shared" si="2"/>
        <v>4818.6666666666661</v>
      </c>
      <c r="G33" s="3">
        <v>10000</v>
      </c>
      <c r="H33" s="5">
        <v>10000</v>
      </c>
    </row>
    <row r="34" spans="1:9" ht="15" customHeight="1" x14ac:dyDescent="0.25">
      <c r="A34" s="1" t="s">
        <v>804</v>
      </c>
      <c r="B34" s="1" t="s">
        <v>2</v>
      </c>
      <c r="C34" s="4">
        <v>31554.560000000001</v>
      </c>
      <c r="D34" s="4">
        <v>13826.57</v>
      </c>
      <c r="E34" s="4">
        <f>SUM(E19:E33)</f>
        <v>30622.840000000004</v>
      </c>
      <c r="F34" s="4">
        <f>SUM(F19:F33)</f>
        <v>40830.453333333331</v>
      </c>
      <c r="G34" s="6">
        <f>SUM(G19:G33)</f>
        <v>46422.5</v>
      </c>
      <c r="H34" s="6">
        <f>SUM(H19:H33)</f>
        <v>50301.54</v>
      </c>
    </row>
    <row r="35" spans="1:9" x14ac:dyDescent="0.25">
      <c r="A35" s="291" t="s">
        <v>2605</v>
      </c>
      <c r="B35" s="291"/>
      <c r="C35" s="294">
        <f>C7+C17-C34</f>
        <v>28172.699999999993</v>
      </c>
      <c r="D35" s="294">
        <f t="shared" ref="D35:G35" si="4">D7+D17-D34</f>
        <v>38836.129999999997</v>
      </c>
      <c r="E35" s="294">
        <f t="shared" si="4"/>
        <v>34404.859999999993</v>
      </c>
      <c r="F35" s="294">
        <f t="shared" si="4"/>
        <v>59482.246666666666</v>
      </c>
      <c r="G35" s="294">
        <f t="shared" si="4"/>
        <v>17250.199999999997</v>
      </c>
      <c r="H35" s="294">
        <f>H7+H17-H34</f>
        <v>39180.706666666672</v>
      </c>
      <c r="I35" s="291"/>
    </row>
  </sheetData>
  <mergeCells count="2">
    <mergeCell ref="A2:I2"/>
    <mergeCell ref="A3:I3"/>
  </mergeCells>
  <printOptions headings="1"/>
  <pageMargins left="0.2" right="0.2" top="0.75" bottom="0.75" header="0.3" footer="0.3"/>
  <pageSetup paperSize="5" scale="85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2B81F-1ADB-4137-84DF-C28908083AF0}">
  <sheetPr>
    <tabColor rgb="FF92D050"/>
    <pageSetUpPr fitToPage="1"/>
  </sheetPr>
  <dimension ref="A1:M273"/>
  <sheetViews>
    <sheetView showGridLines="0" zoomScaleNormal="100" workbookViewId="0">
      <pane ySplit="5" topLeftCell="A209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4" width="18.5703125" hidden="1" customWidth="1"/>
    <col min="5" max="5" width="18.7109375" hidden="1" customWidth="1"/>
    <col min="6" max="8" width="16.7109375" customWidth="1"/>
    <col min="9" max="9" width="44.7109375" style="250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4021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H7-F272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3552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2606</v>
      </c>
      <c r="B7" s="291"/>
      <c r="C7" s="294">
        <v>290974.3</v>
      </c>
      <c r="D7" s="294">
        <v>132611.59</v>
      </c>
      <c r="E7" s="294">
        <v>132611.59</v>
      </c>
      <c r="F7" s="294">
        <v>132611.59</v>
      </c>
      <c r="G7" s="294">
        <v>132611.59</v>
      </c>
      <c r="H7" s="294">
        <f>F272</f>
        <v>1849924.5500000003</v>
      </c>
      <c r="I7" s="291"/>
    </row>
    <row r="8" spans="1:13" x14ac:dyDescent="0.25">
      <c r="A8" s="23" t="s">
        <v>805</v>
      </c>
      <c r="B8" s="23" t="s">
        <v>2</v>
      </c>
      <c r="C8" s="29"/>
      <c r="D8" s="29"/>
      <c r="E8" s="29"/>
      <c r="F8" s="29"/>
      <c r="G8" s="29"/>
      <c r="H8" s="29"/>
      <c r="I8" s="251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51"/>
    </row>
    <row r="10" spans="1:13" x14ac:dyDescent="0.25">
      <c r="A10" s="23" t="s">
        <v>2102</v>
      </c>
      <c r="B10" s="23" t="s">
        <v>2</v>
      </c>
      <c r="C10" s="29"/>
      <c r="D10" s="29"/>
      <c r="E10" s="29"/>
      <c r="F10" s="29"/>
      <c r="G10" s="29"/>
      <c r="H10" s="29"/>
      <c r="I10" s="251"/>
    </row>
    <row r="11" spans="1:13" x14ac:dyDescent="0.25">
      <c r="A11" s="23" t="s">
        <v>2111</v>
      </c>
      <c r="B11" s="23" t="s">
        <v>2</v>
      </c>
      <c r="C11" s="29"/>
      <c r="D11" s="29"/>
      <c r="E11" s="29"/>
      <c r="F11" s="29"/>
      <c r="G11" s="29"/>
      <c r="H11" s="29"/>
      <c r="I11" s="251"/>
    </row>
    <row r="12" spans="1:13" x14ac:dyDescent="0.25">
      <c r="A12" s="30" t="s">
        <v>2607</v>
      </c>
      <c r="B12" s="30" t="s">
        <v>2608</v>
      </c>
      <c r="C12" s="31">
        <v>0</v>
      </c>
      <c r="D12" s="31">
        <v>0</v>
      </c>
      <c r="E12" s="31">
        <v>0</v>
      </c>
      <c r="F12" s="31">
        <f>E12/9*12</f>
        <v>0</v>
      </c>
      <c r="G12" s="31">
        <v>0</v>
      </c>
      <c r="H12" s="31">
        <v>0</v>
      </c>
      <c r="I12" s="251"/>
    </row>
    <row r="13" spans="1:13" x14ac:dyDescent="0.25">
      <c r="A13" s="30" t="s">
        <v>2613</v>
      </c>
      <c r="B13" s="30" t="s">
        <v>2123</v>
      </c>
      <c r="C13" s="31">
        <v>1262.51</v>
      </c>
      <c r="D13" s="31">
        <v>0</v>
      </c>
      <c r="E13" s="31">
        <v>0</v>
      </c>
      <c r="F13" s="31">
        <f>E13/9*12</f>
        <v>0</v>
      </c>
      <c r="G13" s="31">
        <v>0</v>
      </c>
      <c r="H13" s="31">
        <v>0</v>
      </c>
      <c r="I13" s="251"/>
    </row>
    <row r="14" spans="1:13" x14ac:dyDescent="0.25">
      <c r="A14" s="23" t="s">
        <v>2126</v>
      </c>
      <c r="B14" s="23" t="s">
        <v>2</v>
      </c>
      <c r="C14" s="32">
        <v>1262.51</v>
      </c>
      <c r="D14" s="32">
        <v>0</v>
      </c>
      <c r="E14" s="32">
        <f>E12+E13</f>
        <v>0</v>
      </c>
      <c r="F14" s="32">
        <f>F12+F13</f>
        <v>0</v>
      </c>
      <c r="G14" s="32">
        <f>SUM(G12:G13)</f>
        <v>0</v>
      </c>
      <c r="H14" s="32">
        <f>SUM(H12:H13)</f>
        <v>0</v>
      </c>
      <c r="I14" s="251"/>
    </row>
    <row r="15" spans="1:13" x14ac:dyDescent="0.25">
      <c r="A15" s="30"/>
      <c r="B15" s="30"/>
      <c r="C15" s="31"/>
      <c r="D15" s="31"/>
      <c r="E15" s="31"/>
      <c r="F15" s="31"/>
      <c r="G15" s="31"/>
      <c r="H15" s="31"/>
      <c r="I15" s="251"/>
    </row>
    <row r="16" spans="1:13" x14ac:dyDescent="0.25">
      <c r="A16" s="23" t="s">
        <v>2609</v>
      </c>
      <c r="B16" s="23" t="s">
        <v>2</v>
      </c>
      <c r="C16" s="29"/>
      <c r="D16" s="29"/>
      <c r="E16" s="29"/>
      <c r="F16" s="29"/>
      <c r="G16" s="29"/>
      <c r="H16" s="29"/>
      <c r="I16" s="251"/>
    </row>
    <row r="17" spans="1:9" x14ac:dyDescent="0.25">
      <c r="A17" s="30" t="s">
        <v>2610</v>
      </c>
      <c r="B17" s="30" t="s">
        <v>2611</v>
      </c>
      <c r="C17" s="31">
        <v>0</v>
      </c>
      <c r="D17" s="31">
        <v>0</v>
      </c>
      <c r="E17" s="31">
        <v>0</v>
      </c>
      <c r="F17" s="31">
        <f>E17/9*12</f>
        <v>0</v>
      </c>
      <c r="G17" s="31">
        <v>1095000</v>
      </c>
      <c r="H17" s="31">
        <v>2980000</v>
      </c>
      <c r="I17" s="251"/>
    </row>
    <row r="18" spans="1:9" x14ac:dyDescent="0.25">
      <c r="A18" s="23" t="s">
        <v>2612</v>
      </c>
      <c r="B18" s="23" t="s">
        <v>2</v>
      </c>
      <c r="C18" s="32">
        <v>0</v>
      </c>
      <c r="D18" s="32">
        <v>0</v>
      </c>
      <c r="E18" s="32">
        <f>E17</f>
        <v>0</v>
      </c>
      <c r="F18" s="32"/>
      <c r="G18" s="32">
        <f>SUM(G17)</f>
        <v>1095000</v>
      </c>
      <c r="H18" s="32">
        <f>SUM(H17)</f>
        <v>2980000</v>
      </c>
      <c r="I18" s="251"/>
    </row>
    <row r="19" spans="1:9" x14ac:dyDescent="0.25">
      <c r="A19" s="23" t="s">
        <v>2</v>
      </c>
      <c r="B19" s="23" t="s">
        <v>2</v>
      </c>
      <c r="C19" s="23" t="s">
        <v>2</v>
      </c>
      <c r="D19" s="23" t="s">
        <v>2</v>
      </c>
      <c r="E19" s="23"/>
      <c r="F19" s="23"/>
      <c r="G19" s="23" t="s">
        <v>2</v>
      </c>
      <c r="H19" s="23" t="s">
        <v>2</v>
      </c>
      <c r="I19" s="251"/>
    </row>
    <row r="20" spans="1:9" x14ac:dyDescent="0.25">
      <c r="A20" s="23" t="s">
        <v>2127</v>
      </c>
      <c r="B20" s="23" t="s">
        <v>2</v>
      </c>
      <c r="C20" s="29"/>
      <c r="D20" s="29"/>
      <c r="E20" s="29"/>
      <c r="F20" s="29"/>
      <c r="G20" s="29"/>
      <c r="H20" s="29"/>
      <c r="I20" s="251"/>
    </row>
    <row r="21" spans="1:9" x14ac:dyDescent="0.25">
      <c r="A21" s="30" t="s">
        <v>2614</v>
      </c>
      <c r="B21" s="30" t="s">
        <v>2615</v>
      </c>
      <c r="C21" s="31">
        <v>0</v>
      </c>
      <c r="D21" s="31">
        <v>0</v>
      </c>
      <c r="E21" s="31">
        <v>0</v>
      </c>
      <c r="F21" s="31">
        <f t="shared" ref="F21:F31" si="0">E21/9*12</f>
        <v>0</v>
      </c>
      <c r="G21" s="31">
        <v>0</v>
      </c>
      <c r="H21" s="31">
        <v>0</v>
      </c>
      <c r="I21" s="251"/>
    </row>
    <row r="22" spans="1:9" ht="24" x14ac:dyDescent="0.25">
      <c r="A22" s="30" t="s">
        <v>2616</v>
      </c>
      <c r="B22" s="30" t="s">
        <v>2617</v>
      </c>
      <c r="C22" s="31">
        <v>0</v>
      </c>
      <c r="D22" s="31">
        <v>0</v>
      </c>
      <c r="E22" s="31">
        <v>0</v>
      </c>
      <c r="F22" s="31">
        <f t="shared" si="0"/>
        <v>0</v>
      </c>
      <c r="G22" s="31">
        <v>0</v>
      </c>
      <c r="H22" s="31">
        <v>0</v>
      </c>
      <c r="I22" s="251"/>
    </row>
    <row r="23" spans="1:9" x14ac:dyDescent="0.25">
      <c r="A23" s="30" t="s">
        <v>2618</v>
      </c>
      <c r="B23" s="30" t="s">
        <v>2619</v>
      </c>
      <c r="C23" s="31">
        <v>0</v>
      </c>
      <c r="D23" s="31">
        <v>0</v>
      </c>
      <c r="E23" s="31">
        <v>0</v>
      </c>
      <c r="F23" s="31">
        <f t="shared" si="0"/>
        <v>0</v>
      </c>
      <c r="G23" s="31">
        <v>0</v>
      </c>
      <c r="H23" s="31">
        <v>0</v>
      </c>
      <c r="I23" s="251"/>
    </row>
    <row r="24" spans="1:9" x14ac:dyDescent="0.25">
      <c r="A24" s="30" t="s">
        <v>2620</v>
      </c>
      <c r="B24" s="30" t="s">
        <v>2621</v>
      </c>
      <c r="C24" s="31">
        <v>0</v>
      </c>
      <c r="D24" s="31">
        <v>0</v>
      </c>
      <c r="E24" s="31">
        <v>0</v>
      </c>
      <c r="F24" s="31">
        <f t="shared" si="0"/>
        <v>0</v>
      </c>
      <c r="G24" s="31">
        <v>0</v>
      </c>
      <c r="H24" s="31">
        <v>0</v>
      </c>
      <c r="I24" s="251"/>
    </row>
    <row r="25" spans="1:9" x14ac:dyDescent="0.25">
      <c r="A25" s="30" t="s">
        <v>2622</v>
      </c>
      <c r="B25" s="30" t="s">
        <v>2623</v>
      </c>
      <c r="C25" s="31">
        <v>0</v>
      </c>
      <c r="D25" s="31">
        <v>0</v>
      </c>
      <c r="E25" s="31">
        <v>0</v>
      </c>
      <c r="F25" s="31">
        <f t="shared" si="0"/>
        <v>0</v>
      </c>
      <c r="G25" s="31">
        <v>0</v>
      </c>
      <c r="H25" s="31">
        <v>0</v>
      </c>
      <c r="I25" s="251"/>
    </row>
    <row r="26" spans="1:9" x14ac:dyDescent="0.25">
      <c r="A26" s="30" t="s">
        <v>2624</v>
      </c>
      <c r="B26" s="30" t="s">
        <v>2625</v>
      </c>
      <c r="C26" s="31">
        <v>0</v>
      </c>
      <c r="D26" s="31">
        <v>0</v>
      </c>
      <c r="E26" s="31">
        <v>0</v>
      </c>
      <c r="F26" s="31">
        <f t="shared" si="0"/>
        <v>0</v>
      </c>
      <c r="G26" s="31">
        <v>0</v>
      </c>
      <c r="H26" s="31">
        <v>0</v>
      </c>
      <c r="I26" s="251"/>
    </row>
    <row r="27" spans="1:9" x14ac:dyDescent="0.25">
      <c r="A27" s="30" t="s">
        <v>2626</v>
      </c>
      <c r="B27" s="30" t="s">
        <v>2627</v>
      </c>
      <c r="C27" s="31">
        <v>0</v>
      </c>
      <c r="D27" s="31">
        <v>0</v>
      </c>
      <c r="E27" s="31">
        <v>0</v>
      </c>
      <c r="F27" s="31">
        <f t="shared" si="0"/>
        <v>0</v>
      </c>
      <c r="G27" s="31">
        <v>0</v>
      </c>
      <c r="H27" s="31">
        <v>0</v>
      </c>
      <c r="I27" s="251"/>
    </row>
    <row r="28" spans="1:9" x14ac:dyDescent="0.25">
      <c r="A28" s="30" t="s">
        <v>2628</v>
      </c>
      <c r="B28" s="30" t="s">
        <v>2629</v>
      </c>
      <c r="C28" s="31">
        <v>0</v>
      </c>
      <c r="D28" s="31">
        <v>0</v>
      </c>
      <c r="E28" s="31">
        <v>0</v>
      </c>
      <c r="F28" s="31">
        <f t="shared" si="0"/>
        <v>0</v>
      </c>
      <c r="G28" s="31">
        <v>0</v>
      </c>
      <c r="H28" s="31">
        <v>0</v>
      </c>
      <c r="I28" s="251"/>
    </row>
    <row r="29" spans="1:9" x14ac:dyDescent="0.25">
      <c r="A29" s="30" t="s">
        <v>2630</v>
      </c>
      <c r="B29" s="30" t="s">
        <v>2631</v>
      </c>
      <c r="C29" s="31">
        <v>0</v>
      </c>
      <c r="D29" s="31">
        <v>0</v>
      </c>
      <c r="E29" s="31">
        <v>0</v>
      </c>
      <c r="F29" s="31">
        <f t="shared" si="0"/>
        <v>0</v>
      </c>
      <c r="G29" s="31">
        <v>0</v>
      </c>
      <c r="H29" s="31">
        <v>0</v>
      </c>
      <c r="I29" s="251"/>
    </row>
    <row r="30" spans="1:9" x14ac:dyDescent="0.25">
      <c r="A30" s="30" t="s">
        <v>2632</v>
      </c>
      <c r="B30" s="30" t="s">
        <v>2633</v>
      </c>
      <c r="C30" s="31">
        <v>0</v>
      </c>
      <c r="D30" s="31">
        <v>0</v>
      </c>
      <c r="E30" s="31">
        <v>0</v>
      </c>
      <c r="F30" s="31">
        <f t="shared" si="0"/>
        <v>0</v>
      </c>
      <c r="G30" s="31">
        <v>0</v>
      </c>
      <c r="H30" s="31">
        <v>0</v>
      </c>
      <c r="I30" s="251"/>
    </row>
    <row r="31" spans="1:9" x14ac:dyDescent="0.25">
      <c r="A31" s="30" t="s">
        <v>2634</v>
      </c>
      <c r="B31" s="30" t="s">
        <v>2635</v>
      </c>
      <c r="C31" s="31">
        <v>0</v>
      </c>
      <c r="D31" s="31">
        <v>0</v>
      </c>
      <c r="E31" s="31">
        <v>0</v>
      </c>
      <c r="F31" s="31">
        <f t="shared" si="0"/>
        <v>0</v>
      </c>
      <c r="G31" s="31">
        <v>0</v>
      </c>
      <c r="H31" s="31">
        <v>0</v>
      </c>
      <c r="I31" s="251"/>
    </row>
    <row r="32" spans="1:9" x14ac:dyDescent="0.25">
      <c r="A32" s="30"/>
      <c r="B32" s="30" t="s">
        <v>3425</v>
      </c>
      <c r="C32" s="31"/>
      <c r="D32" s="31"/>
      <c r="E32" s="31"/>
      <c r="F32" s="31"/>
      <c r="G32" s="31"/>
      <c r="H32" s="31"/>
      <c r="I32" s="251"/>
    </row>
    <row r="33" spans="1:10" x14ac:dyDescent="0.25">
      <c r="A33" s="30" t="s">
        <v>2636</v>
      </c>
      <c r="B33" s="30" t="s">
        <v>2637</v>
      </c>
      <c r="C33" s="31">
        <v>0</v>
      </c>
      <c r="D33" s="31">
        <v>0</v>
      </c>
      <c r="E33" s="31">
        <v>0</v>
      </c>
      <c r="F33" s="31">
        <f>E33/9*12</f>
        <v>0</v>
      </c>
      <c r="G33" s="31">
        <v>0</v>
      </c>
      <c r="H33" s="31">
        <v>0</v>
      </c>
      <c r="I33" s="251"/>
    </row>
    <row r="34" spans="1:10" x14ac:dyDescent="0.25">
      <c r="A34" s="23" t="s">
        <v>2157</v>
      </c>
      <c r="B34" s="23" t="s">
        <v>2</v>
      </c>
      <c r="C34" s="32">
        <v>0</v>
      </c>
      <c r="D34" s="32">
        <v>0</v>
      </c>
      <c r="E34" s="32">
        <f>SUM(E21:E33)</f>
        <v>0</v>
      </c>
      <c r="F34" s="32">
        <f>SUM(F21:F33)</f>
        <v>0</v>
      </c>
      <c r="G34" s="32">
        <f>SUM(G21:G33)</f>
        <v>0</v>
      </c>
      <c r="H34" s="32">
        <f>SUM(H21:H33)</f>
        <v>0</v>
      </c>
      <c r="I34" s="251"/>
    </row>
    <row r="35" spans="1:10" x14ac:dyDescent="0.25">
      <c r="A35" s="23" t="s">
        <v>2</v>
      </c>
      <c r="B35" s="23" t="s">
        <v>2</v>
      </c>
      <c r="C35" s="23" t="s">
        <v>2</v>
      </c>
      <c r="D35" s="23" t="s">
        <v>2</v>
      </c>
      <c r="E35" s="23"/>
      <c r="F35" s="23"/>
      <c r="G35" s="23" t="s">
        <v>2</v>
      </c>
      <c r="H35" s="23" t="s">
        <v>2</v>
      </c>
      <c r="I35" s="251"/>
    </row>
    <row r="36" spans="1:10" ht="24" x14ac:dyDescent="0.25">
      <c r="A36" s="23" t="s">
        <v>2160</v>
      </c>
      <c r="B36" s="23" t="s">
        <v>2</v>
      </c>
      <c r="C36" s="29"/>
      <c r="D36" s="29"/>
      <c r="E36" s="29"/>
      <c r="F36" s="29"/>
      <c r="G36" s="29"/>
      <c r="H36" s="29"/>
      <c r="I36" s="251"/>
    </row>
    <row r="37" spans="1:10" x14ac:dyDescent="0.25">
      <c r="A37" s="30" t="s">
        <v>2638</v>
      </c>
      <c r="B37" s="30" t="s">
        <v>2639</v>
      </c>
      <c r="C37" s="31">
        <v>19694.060000000001</v>
      </c>
      <c r="D37" s="31">
        <v>5127.51</v>
      </c>
      <c r="E37" s="31">
        <v>15381.64</v>
      </c>
      <c r="F37" s="31">
        <f>E37/9*12</f>
        <v>20508.853333333333</v>
      </c>
      <c r="G37" s="31">
        <v>20156</v>
      </c>
      <c r="H37" s="31">
        <f>Income!$D$82</f>
        <v>20761</v>
      </c>
      <c r="I37" s="252"/>
      <c r="J37" s="41"/>
    </row>
    <row r="38" spans="1:10" x14ac:dyDescent="0.25">
      <c r="A38" s="30" t="s">
        <v>2640</v>
      </c>
      <c r="B38" s="30" t="s">
        <v>2641</v>
      </c>
      <c r="C38" s="31">
        <v>262413.65999999997</v>
      </c>
      <c r="D38" s="31">
        <v>109207.46</v>
      </c>
      <c r="E38" s="31">
        <v>208704.22</v>
      </c>
      <c r="F38" s="31">
        <f>E38/9*12</f>
        <v>278272.29333333333</v>
      </c>
      <c r="G38" s="31">
        <v>277151</v>
      </c>
      <c r="H38" s="31">
        <f>Income!$D$76</f>
        <v>290654</v>
      </c>
      <c r="I38" s="252"/>
      <c r="J38" s="41"/>
    </row>
    <row r="39" spans="1:10" x14ac:dyDescent="0.25">
      <c r="A39" s="30" t="s">
        <v>2642</v>
      </c>
      <c r="B39" s="30" t="s">
        <v>2643</v>
      </c>
      <c r="C39" s="31">
        <v>17232.48</v>
      </c>
      <c r="D39" s="31">
        <v>4486.62</v>
      </c>
      <c r="E39" s="31">
        <v>13459.09</v>
      </c>
      <c r="F39" s="31">
        <f>E39/9*12</f>
        <v>17945.453333333335</v>
      </c>
      <c r="G39" s="31">
        <v>17713</v>
      </c>
      <c r="H39" s="31">
        <f>Income!$D$79</f>
        <v>18206</v>
      </c>
      <c r="I39" s="252"/>
      <c r="J39" s="41"/>
    </row>
    <row r="40" spans="1:10" ht="24" x14ac:dyDescent="0.25">
      <c r="A40" s="23" t="s">
        <v>2171</v>
      </c>
      <c r="B40" s="23" t="s">
        <v>2</v>
      </c>
      <c r="C40" s="32">
        <v>299340.2</v>
      </c>
      <c r="D40" s="32">
        <v>118821.59</v>
      </c>
      <c r="E40" s="32">
        <f>SUM(E37:E39)</f>
        <v>237544.94999999998</v>
      </c>
      <c r="F40" s="32">
        <f>SUM(F37:F39)</f>
        <v>316726.59999999998</v>
      </c>
      <c r="G40" s="32">
        <f>SUM(G37:G39)</f>
        <v>315020</v>
      </c>
      <c r="H40" s="32">
        <f>SUM(H37:H39)</f>
        <v>329621</v>
      </c>
      <c r="I40" s="251"/>
    </row>
    <row r="41" spans="1:10" x14ac:dyDescent="0.25">
      <c r="A41" s="23" t="s">
        <v>2</v>
      </c>
      <c r="B41" s="23" t="s">
        <v>2</v>
      </c>
      <c r="C41" s="23" t="s">
        <v>2</v>
      </c>
      <c r="D41" s="23" t="s">
        <v>2</v>
      </c>
      <c r="E41" s="23"/>
      <c r="F41" s="23"/>
      <c r="G41" s="23" t="s">
        <v>2</v>
      </c>
      <c r="H41" s="23" t="s">
        <v>2</v>
      </c>
      <c r="I41" s="251"/>
    </row>
    <row r="42" spans="1:10" ht="24" x14ac:dyDescent="0.25">
      <c r="A42" s="23" t="s">
        <v>2644</v>
      </c>
      <c r="B42" s="23" t="s">
        <v>2</v>
      </c>
      <c r="C42" s="29"/>
      <c r="D42" s="29"/>
      <c r="E42" s="29"/>
      <c r="F42" s="29"/>
      <c r="G42" s="29"/>
      <c r="H42" s="29"/>
      <c r="I42" s="251"/>
    </row>
    <row r="43" spans="1:10" ht="24" x14ac:dyDescent="0.25">
      <c r="A43" s="23" t="s">
        <v>2645</v>
      </c>
      <c r="B43" s="23" t="s">
        <v>2</v>
      </c>
      <c r="C43" s="29"/>
      <c r="D43" s="29"/>
      <c r="E43" s="29"/>
      <c r="F43" s="29"/>
      <c r="G43" s="29"/>
      <c r="H43" s="29"/>
      <c r="I43" s="251"/>
    </row>
    <row r="44" spans="1:10" x14ac:dyDescent="0.25">
      <c r="A44" s="30" t="s">
        <v>2646</v>
      </c>
      <c r="B44" s="30" t="s">
        <v>2647</v>
      </c>
      <c r="C44" s="31">
        <v>0</v>
      </c>
      <c r="D44" s="31">
        <v>0</v>
      </c>
      <c r="E44" s="31">
        <v>0</v>
      </c>
      <c r="F44" s="31">
        <f t="shared" ref="F44:F45" si="1">E44/9*12</f>
        <v>0</v>
      </c>
      <c r="G44" s="31">
        <v>0</v>
      </c>
      <c r="H44" s="31">
        <v>0</v>
      </c>
      <c r="I44" s="251"/>
    </row>
    <row r="45" spans="1:10" x14ac:dyDescent="0.25">
      <c r="A45" s="30" t="s">
        <v>2648</v>
      </c>
      <c r="B45" s="30" t="s">
        <v>2649</v>
      </c>
      <c r="C45" s="31">
        <v>0</v>
      </c>
      <c r="D45" s="31">
        <v>0</v>
      </c>
      <c r="E45" s="31">
        <v>0</v>
      </c>
      <c r="F45" s="31">
        <f t="shared" si="1"/>
        <v>0</v>
      </c>
      <c r="G45" s="31">
        <v>0</v>
      </c>
      <c r="H45" s="31">
        <v>0</v>
      </c>
      <c r="I45" s="251"/>
    </row>
    <row r="46" spans="1:10" ht="24" x14ac:dyDescent="0.25">
      <c r="A46" s="23" t="s">
        <v>2650</v>
      </c>
      <c r="B46" s="23" t="s">
        <v>2</v>
      </c>
      <c r="C46" s="32">
        <v>0</v>
      </c>
      <c r="D46" s="32">
        <v>0</v>
      </c>
      <c r="E46" s="32">
        <f>SUM(E44:E45)</f>
        <v>0</v>
      </c>
      <c r="F46" s="32">
        <f>SUM(F44:F45)</f>
        <v>0</v>
      </c>
      <c r="G46" s="32">
        <f>SUM(G44:G45)</f>
        <v>0</v>
      </c>
      <c r="H46" s="32">
        <f>SUM(H44:H45)</f>
        <v>0</v>
      </c>
      <c r="I46" s="251"/>
    </row>
    <row r="47" spans="1:10" x14ac:dyDescent="0.25">
      <c r="A47" s="23" t="s">
        <v>2</v>
      </c>
      <c r="B47" s="23" t="s">
        <v>2</v>
      </c>
      <c r="C47" s="23" t="s">
        <v>2</v>
      </c>
      <c r="D47" s="23" t="s">
        <v>2</v>
      </c>
      <c r="E47" s="23"/>
      <c r="F47" s="23"/>
      <c r="G47" s="23" t="s">
        <v>2</v>
      </c>
      <c r="H47" s="23" t="s">
        <v>2</v>
      </c>
      <c r="I47" s="251"/>
    </row>
    <row r="48" spans="1:10" ht="24" x14ac:dyDescent="0.25">
      <c r="A48" s="23" t="s">
        <v>2174</v>
      </c>
      <c r="B48" s="23" t="s">
        <v>2</v>
      </c>
      <c r="C48" s="32">
        <v>300602.71000000002</v>
      </c>
      <c r="D48" s="32">
        <v>118821.59</v>
      </c>
      <c r="E48" s="32">
        <f>E34+E40+E46</f>
        <v>237544.94999999998</v>
      </c>
      <c r="F48" s="32">
        <f>F34+F40+F46</f>
        <v>316726.59999999998</v>
      </c>
      <c r="G48" s="32">
        <f>G14+G18+G34+G40+G46</f>
        <v>1410020</v>
      </c>
      <c r="H48" s="32">
        <f>H14+H18+H34+H40+H46</f>
        <v>3309621</v>
      </c>
      <c r="I48" s="251"/>
    </row>
    <row r="49" spans="1:9" x14ac:dyDescent="0.25">
      <c r="A49" s="23" t="s">
        <v>2</v>
      </c>
      <c r="B49" s="23" t="s">
        <v>2</v>
      </c>
      <c r="C49" s="23" t="s">
        <v>2</v>
      </c>
      <c r="D49" s="23" t="s">
        <v>2</v>
      </c>
      <c r="E49" s="23"/>
      <c r="F49" s="23"/>
      <c r="G49" s="23" t="s">
        <v>2</v>
      </c>
      <c r="H49" s="23" t="s">
        <v>2</v>
      </c>
      <c r="I49" s="251"/>
    </row>
    <row r="50" spans="1:9" x14ac:dyDescent="0.25">
      <c r="A50" s="30" t="s">
        <v>2651</v>
      </c>
      <c r="B50" s="30" t="s">
        <v>2652</v>
      </c>
      <c r="C50" s="31">
        <v>24600</v>
      </c>
      <c r="D50" s="31">
        <v>11800</v>
      </c>
      <c r="E50" s="31">
        <v>18000</v>
      </c>
      <c r="F50" s="31">
        <f t="shared" ref="F50:F53" si="2">E50/9*12</f>
        <v>24000</v>
      </c>
      <c r="G50" s="31">
        <v>15000</v>
      </c>
      <c r="H50" s="31">
        <v>15000</v>
      </c>
      <c r="I50" s="251"/>
    </row>
    <row r="51" spans="1:9" x14ac:dyDescent="0.25">
      <c r="A51" s="30" t="s">
        <v>2653</v>
      </c>
      <c r="B51" s="30" t="s">
        <v>2654</v>
      </c>
      <c r="C51" s="31">
        <v>0</v>
      </c>
      <c r="D51" s="31">
        <v>0</v>
      </c>
      <c r="E51" s="31">
        <v>0</v>
      </c>
      <c r="F51" s="31">
        <f t="shared" si="2"/>
        <v>0</v>
      </c>
      <c r="G51" s="31">
        <v>0</v>
      </c>
      <c r="H51" s="31">
        <v>0</v>
      </c>
      <c r="I51" s="251"/>
    </row>
    <row r="52" spans="1:9" x14ac:dyDescent="0.25">
      <c r="A52" s="30" t="s">
        <v>2655</v>
      </c>
      <c r="B52" s="30" t="s">
        <v>2656</v>
      </c>
      <c r="C52" s="31">
        <v>0</v>
      </c>
      <c r="D52" s="31">
        <v>0</v>
      </c>
      <c r="E52" s="31">
        <v>0</v>
      </c>
      <c r="F52" s="31">
        <f t="shared" si="2"/>
        <v>0</v>
      </c>
      <c r="G52" s="31">
        <v>0</v>
      </c>
      <c r="H52" s="31">
        <v>0</v>
      </c>
      <c r="I52" s="251"/>
    </row>
    <row r="53" spans="1:9" x14ac:dyDescent="0.25">
      <c r="A53" s="30" t="s">
        <v>2657</v>
      </c>
      <c r="B53" s="30" t="s">
        <v>2652</v>
      </c>
      <c r="C53" s="31">
        <v>0</v>
      </c>
      <c r="D53" s="31">
        <v>0</v>
      </c>
      <c r="E53" s="31">
        <v>0</v>
      </c>
      <c r="F53" s="31">
        <f t="shared" si="2"/>
        <v>0</v>
      </c>
      <c r="G53" s="31">
        <v>0</v>
      </c>
      <c r="H53" s="31">
        <v>0</v>
      </c>
      <c r="I53" s="251"/>
    </row>
    <row r="54" spans="1:9" x14ac:dyDescent="0.25">
      <c r="A54" s="30"/>
      <c r="B54" s="30"/>
      <c r="C54" s="31"/>
      <c r="D54" s="31"/>
      <c r="E54" s="31"/>
      <c r="F54" s="31"/>
      <c r="G54" s="31"/>
      <c r="H54" s="31"/>
      <c r="I54" s="251"/>
    </row>
    <row r="55" spans="1:9" x14ac:dyDescent="0.25">
      <c r="A55" s="23" t="s">
        <v>2175</v>
      </c>
      <c r="B55" s="23" t="s">
        <v>2</v>
      </c>
      <c r="C55" s="29"/>
      <c r="D55" s="29"/>
      <c r="E55" s="29"/>
      <c r="F55" s="29"/>
      <c r="G55" s="29"/>
      <c r="H55" s="29"/>
      <c r="I55" s="251"/>
    </row>
    <row r="56" spans="1:9" x14ac:dyDescent="0.25">
      <c r="A56" s="23" t="s">
        <v>2176</v>
      </c>
      <c r="B56" s="23" t="s">
        <v>2</v>
      </c>
      <c r="C56" s="29"/>
      <c r="D56" s="29"/>
      <c r="E56" s="29"/>
      <c r="F56" s="29"/>
      <c r="G56" s="29"/>
      <c r="H56" s="29"/>
      <c r="I56" s="251"/>
    </row>
    <row r="57" spans="1:9" x14ac:dyDescent="0.25">
      <c r="A57" s="23" t="s">
        <v>2564</v>
      </c>
      <c r="B57" s="23" t="s">
        <v>2</v>
      </c>
      <c r="C57" s="29"/>
      <c r="D57" s="29"/>
      <c r="E57" s="29"/>
      <c r="F57" s="29"/>
      <c r="G57" s="29"/>
      <c r="H57" s="29"/>
      <c r="I57" s="251"/>
    </row>
    <row r="58" spans="1:9" x14ac:dyDescent="0.25">
      <c r="A58" s="30" t="s">
        <v>2658</v>
      </c>
      <c r="B58" s="30" t="s">
        <v>2409</v>
      </c>
      <c r="C58" s="31">
        <v>0</v>
      </c>
      <c r="D58" s="31">
        <v>0</v>
      </c>
      <c r="E58" s="31">
        <v>0</v>
      </c>
      <c r="F58" s="31">
        <f>E58/9*12</f>
        <v>0</v>
      </c>
      <c r="G58" s="31">
        <v>0</v>
      </c>
      <c r="H58" s="31">
        <v>0</v>
      </c>
      <c r="I58" s="251"/>
    </row>
    <row r="59" spans="1:9" ht="24" x14ac:dyDescent="0.25">
      <c r="A59" s="23" t="s">
        <v>2580</v>
      </c>
      <c r="B59" s="23" t="s">
        <v>2</v>
      </c>
      <c r="C59" s="32">
        <v>0</v>
      </c>
      <c r="D59" s="32">
        <v>0</v>
      </c>
      <c r="E59" s="32">
        <f>E58</f>
        <v>0</v>
      </c>
      <c r="F59" s="32">
        <f>F58</f>
        <v>0</v>
      </c>
      <c r="G59" s="32">
        <f>SUM(G58)</f>
        <v>0</v>
      </c>
      <c r="H59" s="32">
        <f>SUM(H58)</f>
        <v>0</v>
      </c>
      <c r="I59" s="251"/>
    </row>
    <row r="60" spans="1:9" x14ac:dyDescent="0.25">
      <c r="A60" s="23" t="s">
        <v>2</v>
      </c>
      <c r="B60" s="23" t="s">
        <v>2</v>
      </c>
      <c r="C60" s="23" t="s">
        <v>2</v>
      </c>
      <c r="D60" s="23" t="s">
        <v>2</v>
      </c>
      <c r="E60" s="23"/>
      <c r="F60" s="23"/>
      <c r="G60" s="23" t="s">
        <v>2</v>
      </c>
      <c r="H60" s="23" t="s">
        <v>2</v>
      </c>
      <c r="I60" s="251"/>
    </row>
    <row r="61" spans="1:9" x14ac:dyDescent="0.25">
      <c r="A61" s="30" t="s">
        <v>2659</v>
      </c>
      <c r="B61" s="30" t="s">
        <v>2660</v>
      </c>
      <c r="C61" s="31">
        <v>0</v>
      </c>
      <c r="D61" s="31">
        <v>0</v>
      </c>
      <c r="E61" s="31">
        <v>0</v>
      </c>
      <c r="F61" s="31">
        <f>E61/9*12</f>
        <v>0</v>
      </c>
      <c r="G61" s="31">
        <v>0</v>
      </c>
      <c r="H61" s="31">
        <v>0</v>
      </c>
      <c r="I61" s="251"/>
    </row>
    <row r="62" spans="1:9" x14ac:dyDescent="0.25">
      <c r="A62" s="30"/>
      <c r="B62" s="30"/>
      <c r="C62" s="31"/>
      <c r="D62" s="31"/>
      <c r="E62" s="31"/>
      <c r="F62" s="31"/>
      <c r="G62" s="31"/>
      <c r="H62" s="31"/>
      <c r="I62" s="251"/>
    </row>
    <row r="63" spans="1:9" ht="24" x14ac:dyDescent="0.25">
      <c r="A63" s="23" t="s">
        <v>2581</v>
      </c>
      <c r="B63" s="23" t="s">
        <v>2</v>
      </c>
      <c r="C63" s="29"/>
      <c r="D63" s="29"/>
      <c r="E63" s="29"/>
      <c r="F63" s="29"/>
      <c r="G63" s="29"/>
      <c r="H63" s="29"/>
      <c r="I63" s="251"/>
    </row>
    <row r="64" spans="1:9" x14ac:dyDescent="0.25">
      <c r="A64" s="30" t="s">
        <v>2661</v>
      </c>
      <c r="B64" s="30" t="s">
        <v>2662</v>
      </c>
      <c r="C64" s="31">
        <v>0</v>
      </c>
      <c r="D64" s="31">
        <v>0</v>
      </c>
      <c r="E64" s="31">
        <v>0</v>
      </c>
      <c r="F64" s="31">
        <f t="shared" ref="F64:F66" si="3">E64/9*12</f>
        <v>0</v>
      </c>
      <c r="G64" s="31">
        <v>0</v>
      </c>
      <c r="H64" s="31">
        <v>0</v>
      </c>
      <c r="I64" s="251"/>
    </row>
    <row r="65" spans="1:9" x14ac:dyDescent="0.25">
      <c r="A65" s="30" t="s">
        <v>2663</v>
      </c>
      <c r="B65" s="30" t="s">
        <v>2664</v>
      </c>
      <c r="C65" s="31">
        <v>224.88</v>
      </c>
      <c r="D65" s="31">
        <v>0</v>
      </c>
      <c r="E65" s="31">
        <v>0</v>
      </c>
      <c r="F65" s="31">
        <f t="shared" si="3"/>
        <v>0</v>
      </c>
      <c r="G65" s="31">
        <v>0</v>
      </c>
      <c r="H65" s="31">
        <v>0</v>
      </c>
      <c r="I65" s="251"/>
    </row>
    <row r="66" spans="1:9" x14ac:dyDescent="0.25">
      <c r="A66" s="30" t="s">
        <v>2665</v>
      </c>
      <c r="B66" s="30" t="s">
        <v>64</v>
      </c>
      <c r="C66" s="31">
        <v>353.5</v>
      </c>
      <c r="D66" s="31">
        <v>0</v>
      </c>
      <c r="E66" s="31">
        <v>0</v>
      </c>
      <c r="F66" s="31">
        <f t="shared" si="3"/>
        <v>0</v>
      </c>
      <c r="G66" s="31">
        <v>0</v>
      </c>
      <c r="H66" s="31">
        <v>0</v>
      </c>
      <c r="I66" s="251"/>
    </row>
    <row r="67" spans="1:9" ht="24" x14ac:dyDescent="0.25">
      <c r="A67" s="23" t="s">
        <v>2585</v>
      </c>
      <c r="B67" s="23" t="s">
        <v>2</v>
      </c>
      <c r="C67" s="32">
        <v>578.38</v>
      </c>
      <c r="D67" s="32">
        <v>0</v>
      </c>
      <c r="E67" s="32">
        <f>SUM(E64:E66)</f>
        <v>0</v>
      </c>
      <c r="F67" s="32">
        <f>SUM(F64:F66)</f>
        <v>0</v>
      </c>
      <c r="G67" s="32">
        <f>SUM(G64:G66)</f>
        <v>0</v>
      </c>
      <c r="H67" s="32">
        <f>SUM(H64:H66)</f>
        <v>0</v>
      </c>
      <c r="I67" s="251"/>
    </row>
    <row r="68" spans="1:9" x14ac:dyDescent="0.25">
      <c r="A68" s="23" t="s">
        <v>2</v>
      </c>
      <c r="B68" s="23" t="s">
        <v>2</v>
      </c>
      <c r="C68" s="23" t="s">
        <v>2</v>
      </c>
      <c r="D68" s="23" t="s">
        <v>2</v>
      </c>
      <c r="E68" s="23"/>
      <c r="F68" s="23"/>
      <c r="G68" s="23" t="s">
        <v>2</v>
      </c>
      <c r="H68" s="23" t="s">
        <v>2</v>
      </c>
      <c r="I68" s="251"/>
    </row>
    <row r="69" spans="1:9" ht="24" x14ac:dyDescent="0.25">
      <c r="A69" s="23" t="s">
        <v>2180</v>
      </c>
      <c r="B69" s="23" t="s">
        <v>2</v>
      </c>
      <c r="C69" s="32">
        <v>578.38</v>
      </c>
      <c r="D69" s="32">
        <v>0</v>
      </c>
      <c r="E69" s="32">
        <f>E67</f>
        <v>0</v>
      </c>
      <c r="F69" s="32">
        <f>F67</f>
        <v>0</v>
      </c>
      <c r="G69" s="32">
        <f>G59+G61+G67</f>
        <v>0</v>
      </c>
      <c r="H69" s="32">
        <f>H59+H61+H67</f>
        <v>0</v>
      </c>
      <c r="I69" s="251"/>
    </row>
    <row r="70" spans="1:9" x14ac:dyDescent="0.25">
      <c r="A70" s="23" t="s">
        <v>2</v>
      </c>
      <c r="B70" s="23" t="s">
        <v>2</v>
      </c>
      <c r="C70" s="23" t="s">
        <v>2</v>
      </c>
      <c r="D70" s="23" t="s">
        <v>2</v>
      </c>
      <c r="E70" s="23"/>
      <c r="F70" s="23"/>
      <c r="G70" s="23" t="s">
        <v>2</v>
      </c>
      <c r="H70" s="23" t="s">
        <v>2</v>
      </c>
      <c r="I70" s="251"/>
    </row>
    <row r="71" spans="1:9" x14ac:dyDescent="0.25">
      <c r="A71" s="23" t="s">
        <v>2553</v>
      </c>
      <c r="B71" s="23" t="s">
        <v>2</v>
      </c>
      <c r="C71" s="29"/>
      <c r="D71" s="29"/>
      <c r="E71" s="29"/>
      <c r="F71" s="29"/>
      <c r="G71" s="29"/>
      <c r="H71" s="29"/>
      <c r="I71" s="251"/>
    </row>
    <row r="72" spans="1:9" x14ac:dyDescent="0.25">
      <c r="A72" s="23" t="s">
        <v>2666</v>
      </c>
      <c r="B72" s="23" t="s">
        <v>2</v>
      </c>
      <c r="C72" s="29"/>
      <c r="D72" s="29"/>
      <c r="E72" s="29"/>
      <c r="F72" s="29"/>
      <c r="G72" s="29"/>
      <c r="H72" s="29"/>
      <c r="I72" s="251"/>
    </row>
    <row r="73" spans="1:9" ht="24" x14ac:dyDescent="0.25">
      <c r="A73" s="23" t="s">
        <v>2667</v>
      </c>
      <c r="B73" s="23" t="s">
        <v>2</v>
      </c>
      <c r="C73" s="29"/>
      <c r="D73" s="29"/>
      <c r="E73" s="29"/>
      <c r="F73" s="29"/>
      <c r="G73" s="29"/>
      <c r="H73" s="29"/>
      <c r="I73" s="251"/>
    </row>
    <row r="74" spans="1:9" x14ac:dyDescent="0.25">
      <c r="A74" s="30" t="s">
        <v>2668</v>
      </c>
      <c r="B74" s="30" t="s">
        <v>2669</v>
      </c>
      <c r="C74" s="31">
        <v>9993.36</v>
      </c>
      <c r="D74" s="31">
        <v>0</v>
      </c>
      <c r="E74" s="31">
        <v>0</v>
      </c>
      <c r="F74" s="31">
        <f>E74/9*12</f>
        <v>0</v>
      </c>
      <c r="G74" s="31">
        <v>0</v>
      </c>
      <c r="H74" s="31">
        <v>0</v>
      </c>
      <c r="I74" s="251"/>
    </row>
    <row r="75" spans="1:9" ht="24" x14ac:dyDescent="0.25">
      <c r="A75" s="23" t="s">
        <v>2670</v>
      </c>
      <c r="B75" s="23" t="s">
        <v>2</v>
      </c>
      <c r="C75" s="32">
        <v>9993.36</v>
      </c>
      <c r="D75" s="32">
        <v>0</v>
      </c>
      <c r="E75" s="32">
        <f>E74</f>
        <v>0</v>
      </c>
      <c r="F75" s="32">
        <f>F74</f>
        <v>0</v>
      </c>
      <c r="G75" s="32">
        <f>SUM(G74)</f>
        <v>0</v>
      </c>
      <c r="H75" s="32">
        <f>SUM(H74)</f>
        <v>0</v>
      </c>
      <c r="I75" s="251"/>
    </row>
    <row r="76" spans="1:9" x14ac:dyDescent="0.25">
      <c r="A76" s="23" t="s">
        <v>2</v>
      </c>
      <c r="B76" s="23" t="s">
        <v>2</v>
      </c>
      <c r="C76" s="23" t="s">
        <v>2</v>
      </c>
      <c r="D76" s="23" t="s">
        <v>2</v>
      </c>
      <c r="E76" s="23"/>
      <c r="F76" s="23"/>
      <c r="G76" s="23" t="s">
        <v>2</v>
      </c>
      <c r="H76" s="23" t="s">
        <v>2</v>
      </c>
      <c r="I76" s="251"/>
    </row>
    <row r="77" spans="1:9" x14ac:dyDescent="0.25">
      <c r="A77" s="23" t="s">
        <v>2691</v>
      </c>
      <c r="B77" s="23" t="s">
        <v>2</v>
      </c>
      <c r="C77" s="29"/>
      <c r="D77" s="29"/>
      <c r="E77" s="29"/>
      <c r="F77" s="29"/>
      <c r="G77" s="29"/>
      <c r="H77" s="29"/>
      <c r="I77" s="251"/>
    </row>
    <row r="78" spans="1:9" x14ac:dyDescent="0.25">
      <c r="A78" s="109" t="s">
        <v>2671</v>
      </c>
      <c r="B78" s="109" t="s">
        <v>2672</v>
      </c>
      <c r="C78" s="110">
        <v>212959.25</v>
      </c>
      <c r="D78" s="110">
        <v>60537.73</v>
      </c>
      <c r="E78" s="110">
        <v>127065.67</v>
      </c>
      <c r="F78" s="110">
        <v>905000</v>
      </c>
      <c r="G78" s="110">
        <v>905000</v>
      </c>
      <c r="H78" s="110">
        <f>Transfers!$C$26</f>
        <v>0</v>
      </c>
      <c r="I78" s="253"/>
    </row>
    <row r="79" spans="1:9" x14ac:dyDescent="0.25">
      <c r="A79" s="109" t="s">
        <v>2673</v>
      </c>
      <c r="B79" s="109" t="s">
        <v>2674</v>
      </c>
      <c r="C79" s="110">
        <v>770000</v>
      </c>
      <c r="D79" s="110">
        <v>187000</v>
      </c>
      <c r="E79" s="110">
        <v>262000</v>
      </c>
      <c r="F79" s="110">
        <v>1275000</v>
      </c>
      <c r="G79" s="110">
        <v>1275000</v>
      </c>
      <c r="H79" s="110">
        <f>Transfers!$C$27</f>
        <v>1000000</v>
      </c>
      <c r="I79" s="253"/>
    </row>
    <row r="80" spans="1:9" x14ac:dyDescent="0.25">
      <c r="A80" s="109" t="s">
        <v>2675</v>
      </c>
      <c r="B80" s="109" t="s">
        <v>2676</v>
      </c>
      <c r="C80" s="110">
        <v>0</v>
      </c>
      <c r="D80" s="110">
        <v>0</v>
      </c>
      <c r="E80" s="110">
        <v>0</v>
      </c>
      <c r="F80" s="110">
        <v>0</v>
      </c>
      <c r="G80" s="110">
        <v>0</v>
      </c>
      <c r="H80" s="110">
        <f>Transfers!$C$28</f>
        <v>500000</v>
      </c>
      <c r="I80" s="253"/>
    </row>
    <row r="81" spans="1:9" x14ac:dyDescent="0.25">
      <c r="A81" s="109" t="s">
        <v>2677</v>
      </c>
      <c r="B81" s="109" t="s">
        <v>2678</v>
      </c>
      <c r="C81" s="110">
        <v>0</v>
      </c>
      <c r="D81" s="110">
        <v>0</v>
      </c>
      <c r="E81" s="110">
        <v>0</v>
      </c>
      <c r="F81" s="110">
        <v>0</v>
      </c>
      <c r="G81" s="110">
        <v>0</v>
      </c>
      <c r="H81" s="110">
        <f>Transfers!$C$29</f>
        <v>0</v>
      </c>
      <c r="I81" s="253"/>
    </row>
    <row r="82" spans="1:9" x14ac:dyDescent="0.25">
      <c r="A82" s="109" t="s">
        <v>2679</v>
      </c>
      <c r="B82" s="109" t="s">
        <v>2680</v>
      </c>
      <c r="C82" s="110">
        <v>0</v>
      </c>
      <c r="D82" s="110">
        <v>0</v>
      </c>
      <c r="E82" s="110">
        <v>0</v>
      </c>
      <c r="F82" s="110">
        <v>0</v>
      </c>
      <c r="G82" s="110">
        <v>0</v>
      </c>
      <c r="H82" s="110">
        <f>Transfers!$C$30</f>
        <v>0</v>
      </c>
      <c r="I82" s="253"/>
    </row>
    <row r="83" spans="1:9" x14ac:dyDescent="0.25">
      <c r="A83" s="109" t="s">
        <v>2681</v>
      </c>
      <c r="B83" s="109" t="s">
        <v>2682</v>
      </c>
      <c r="C83" s="110">
        <v>0</v>
      </c>
      <c r="D83" s="110">
        <v>0</v>
      </c>
      <c r="E83" s="110">
        <v>0</v>
      </c>
      <c r="F83" s="110">
        <v>100000</v>
      </c>
      <c r="G83" s="110">
        <v>100000</v>
      </c>
      <c r="H83" s="110">
        <f>Transfers!$C$31</f>
        <v>0</v>
      </c>
      <c r="I83" s="253"/>
    </row>
    <row r="84" spans="1:9" x14ac:dyDescent="0.25">
      <c r="A84" s="109" t="s">
        <v>2683</v>
      </c>
      <c r="B84" s="109" t="s">
        <v>2684</v>
      </c>
      <c r="C84" s="110">
        <v>54774.81</v>
      </c>
      <c r="D84" s="110">
        <v>776.88</v>
      </c>
      <c r="E84" s="110">
        <v>776.88</v>
      </c>
      <c r="F84" s="110">
        <v>150000</v>
      </c>
      <c r="G84" s="110">
        <v>150000</v>
      </c>
      <c r="H84" s="110">
        <f>Transfers!$C$32</f>
        <v>150000</v>
      </c>
      <c r="I84" s="253"/>
    </row>
    <row r="85" spans="1:9" x14ac:dyDescent="0.25">
      <c r="A85" s="109" t="s">
        <v>2685</v>
      </c>
      <c r="B85" s="109" t="s">
        <v>2686</v>
      </c>
      <c r="C85" s="110">
        <v>0</v>
      </c>
      <c r="D85" s="110">
        <v>0</v>
      </c>
      <c r="E85" s="110">
        <v>0</v>
      </c>
      <c r="F85" s="110">
        <v>0</v>
      </c>
      <c r="G85" s="110">
        <v>0</v>
      </c>
      <c r="H85" s="110">
        <f>Transfers!$C$33</f>
        <v>0</v>
      </c>
      <c r="I85" s="253"/>
    </row>
    <row r="86" spans="1:9" x14ac:dyDescent="0.25">
      <c r="A86" s="109" t="s">
        <v>2687</v>
      </c>
      <c r="B86" s="109" t="s">
        <v>2688</v>
      </c>
      <c r="C86" s="110">
        <v>0</v>
      </c>
      <c r="D86" s="110">
        <v>0</v>
      </c>
      <c r="E86" s="110">
        <v>0</v>
      </c>
      <c r="F86" s="110">
        <v>250000</v>
      </c>
      <c r="G86" s="110">
        <v>250000</v>
      </c>
      <c r="H86" s="110">
        <f>Transfers!$C$34</f>
        <v>250000</v>
      </c>
      <c r="I86" s="253"/>
    </row>
    <row r="87" spans="1:9" x14ac:dyDescent="0.25">
      <c r="A87" s="109" t="s">
        <v>2689</v>
      </c>
      <c r="B87" s="109" t="s">
        <v>2690</v>
      </c>
      <c r="C87" s="110">
        <v>0</v>
      </c>
      <c r="D87" s="110">
        <v>0</v>
      </c>
      <c r="E87" s="110">
        <v>0</v>
      </c>
      <c r="F87" s="110">
        <v>250000</v>
      </c>
      <c r="G87" s="110">
        <v>250000</v>
      </c>
      <c r="H87" s="110">
        <f>Transfers!$C$35</f>
        <v>250000</v>
      </c>
      <c r="I87" s="253"/>
    </row>
    <row r="88" spans="1:9" x14ac:dyDescent="0.25">
      <c r="A88" s="23" t="s">
        <v>2692</v>
      </c>
      <c r="B88" s="23" t="s">
        <v>2</v>
      </c>
      <c r="C88" s="32">
        <v>1037734.06</v>
      </c>
      <c r="D88" s="32">
        <v>248314.61</v>
      </c>
      <c r="E88" s="32">
        <f>SUM(E78:E87)</f>
        <v>389842.55</v>
      </c>
      <c r="F88" s="32">
        <f>SUM(F78:F87)</f>
        <v>2930000</v>
      </c>
      <c r="G88" s="32">
        <f>SUM(G78:G87)</f>
        <v>2930000</v>
      </c>
      <c r="H88" s="32">
        <f>SUM(H78:H87)</f>
        <v>2150000</v>
      </c>
      <c r="I88" s="251"/>
    </row>
    <row r="89" spans="1:9" x14ac:dyDescent="0.25">
      <c r="A89" s="23" t="s">
        <v>2</v>
      </c>
      <c r="B89" s="23" t="s">
        <v>2</v>
      </c>
      <c r="C89" s="23" t="s">
        <v>2</v>
      </c>
      <c r="D89" s="23" t="s">
        <v>2</v>
      </c>
      <c r="E89" s="23"/>
      <c r="F89" s="23"/>
      <c r="G89" s="23" t="s">
        <v>2</v>
      </c>
      <c r="H89" s="23" t="s">
        <v>2</v>
      </c>
      <c r="I89" s="251"/>
    </row>
    <row r="90" spans="1:9" ht="24" x14ac:dyDescent="0.25">
      <c r="A90" s="23" t="s">
        <v>2556</v>
      </c>
      <c r="B90" s="23" t="s">
        <v>2</v>
      </c>
      <c r="C90" s="32">
        <v>1047727.42</v>
      </c>
      <c r="D90" s="32">
        <v>248314.61</v>
      </c>
      <c r="E90" s="32">
        <f>E88+E75</f>
        <v>389842.55</v>
      </c>
      <c r="F90" s="32">
        <f>F88+F75</f>
        <v>2930000</v>
      </c>
      <c r="G90" s="32">
        <f>G75+G88</f>
        <v>2930000</v>
      </c>
      <c r="H90" s="32">
        <f>H75+H88</f>
        <v>2150000</v>
      </c>
      <c r="I90" s="251"/>
    </row>
    <row r="91" spans="1:9" x14ac:dyDescent="0.25">
      <c r="A91" s="23" t="s">
        <v>2</v>
      </c>
      <c r="B91" s="23" t="s">
        <v>2</v>
      </c>
      <c r="C91" s="23" t="s">
        <v>2</v>
      </c>
      <c r="D91" s="23" t="s">
        <v>2</v>
      </c>
      <c r="E91" s="23"/>
      <c r="F91" s="23"/>
      <c r="G91" s="23" t="s">
        <v>2</v>
      </c>
      <c r="H91" s="23" t="s">
        <v>2</v>
      </c>
      <c r="I91" s="251"/>
    </row>
    <row r="92" spans="1:9" x14ac:dyDescent="0.25">
      <c r="A92" s="39" t="s">
        <v>2047</v>
      </c>
      <c r="B92" s="23" t="s">
        <v>2</v>
      </c>
      <c r="C92" s="32">
        <v>1373508.51</v>
      </c>
      <c r="D92" s="32">
        <v>378936.2</v>
      </c>
      <c r="E92" s="32">
        <f>E14+E18+E34+E40+E50+E90</f>
        <v>645387.5</v>
      </c>
      <c r="F92" s="32">
        <f>F14+F18+F34+F40+F50+F90</f>
        <v>3270726.6</v>
      </c>
      <c r="G92" s="32">
        <f>G90+G69+SUM(G50:G53)+G48</f>
        <v>4355020</v>
      </c>
      <c r="H92" s="32">
        <f>H90+H69+SUM(H50:H53)+H48</f>
        <v>5474621</v>
      </c>
      <c r="I92" s="251"/>
    </row>
    <row r="93" spans="1:9" x14ac:dyDescent="0.25">
      <c r="A93" s="1" t="s">
        <v>740</v>
      </c>
      <c r="B93" s="1" t="s">
        <v>2</v>
      </c>
    </row>
    <row r="94" spans="1:9" ht="29.25" customHeight="1" x14ac:dyDescent="0.25">
      <c r="A94" s="1" t="s">
        <v>806</v>
      </c>
      <c r="B94" s="1" t="s">
        <v>2</v>
      </c>
    </row>
    <row r="95" spans="1:9" x14ac:dyDescent="0.25">
      <c r="A95" s="2" t="s">
        <v>807</v>
      </c>
      <c r="B95" s="2" t="s">
        <v>808</v>
      </c>
      <c r="C95" s="3">
        <v>0</v>
      </c>
      <c r="D95" s="3">
        <v>0</v>
      </c>
      <c r="E95" s="3">
        <v>0</v>
      </c>
      <c r="F95" s="3">
        <f>E95/9*12</f>
        <v>0</v>
      </c>
      <c r="G95" s="3">
        <v>0</v>
      </c>
      <c r="H95" s="5">
        <v>0</v>
      </c>
    </row>
    <row r="96" spans="1:9" ht="15" customHeight="1" x14ac:dyDescent="0.25">
      <c r="A96" s="2" t="s">
        <v>809</v>
      </c>
      <c r="B96" s="2" t="s">
        <v>810</v>
      </c>
      <c r="C96" s="3">
        <v>0</v>
      </c>
      <c r="D96" s="3">
        <v>0</v>
      </c>
      <c r="E96" s="3">
        <v>0</v>
      </c>
      <c r="F96" s="3">
        <f t="shared" ref="F96:F131" si="4">E96/9*12</f>
        <v>0</v>
      </c>
      <c r="G96" s="3">
        <v>0</v>
      </c>
      <c r="H96" s="5">
        <v>0</v>
      </c>
    </row>
    <row r="97" spans="1:8" x14ac:dyDescent="0.25">
      <c r="A97" s="2" t="s">
        <v>811</v>
      </c>
      <c r="B97" s="2" t="s">
        <v>812</v>
      </c>
      <c r="C97" s="3">
        <v>0</v>
      </c>
      <c r="D97" s="3">
        <v>0</v>
      </c>
      <c r="E97" s="3">
        <v>0</v>
      </c>
      <c r="F97" s="3">
        <f t="shared" si="4"/>
        <v>0</v>
      </c>
      <c r="G97" s="3">
        <v>0</v>
      </c>
      <c r="H97" s="5">
        <v>0</v>
      </c>
    </row>
    <row r="98" spans="1:8" x14ac:dyDescent="0.25">
      <c r="A98" s="2" t="s">
        <v>813</v>
      </c>
      <c r="B98" s="2" t="s">
        <v>814</v>
      </c>
      <c r="C98" s="3">
        <v>0</v>
      </c>
      <c r="D98" s="3">
        <v>0</v>
      </c>
      <c r="E98" s="3">
        <v>0</v>
      </c>
      <c r="F98" s="3">
        <f t="shared" si="4"/>
        <v>0</v>
      </c>
      <c r="G98" s="3">
        <v>0</v>
      </c>
      <c r="H98" s="5">
        <v>0</v>
      </c>
    </row>
    <row r="99" spans="1:8" ht="15" customHeight="1" x14ac:dyDescent="0.25">
      <c r="A99" s="2" t="s">
        <v>815</v>
      </c>
      <c r="B99" s="2" t="s">
        <v>816</v>
      </c>
      <c r="C99" s="3">
        <v>0</v>
      </c>
      <c r="D99" s="3">
        <v>704.79</v>
      </c>
      <c r="E99" s="3">
        <v>1436.16</v>
      </c>
      <c r="F99" s="3">
        <f t="shared" si="4"/>
        <v>1914.88</v>
      </c>
      <c r="G99" s="3">
        <v>0</v>
      </c>
      <c r="H99" s="5">
        <v>0</v>
      </c>
    </row>
    <row r="100" spans="1:8" x14ac:dyDescent="0.25">
      <c r="A100" s="2" t="s">
        <v>817</v>
      </c>
      <c r="B100" s="2" t="s">
        <v>818</v>
      </c>
      <c r="C100" s="3">
        <v>0</v>
      </c>
      <c r="D100" s="3">
        <v>168.8</v>
      </c>
      <c r="E100" s="3">
        <v>168.8</v>
      </c>
      <c r="F100" s="3">
        <f t="shared" si="4"/>
        <v>225.06666666666666</v>
      </c>
      <c r="G100" s="3">
        <v>500000</v>
      </c>
      <c r="H100" s="5">
        <v>500000</v>
      </c>
    </row>
    <row r="101" spans="1:8" ht="15" customHeight="1" x14ac:dyDescent="0.25">
      <c r="A101" s="2" t="s">
        <v>819</v>
      </c>
      <c r="B101" s="2" t="s">
        <v>820</v>
      </c>
      <c r="C101" s="3">
        <v>85895.94</v>
      </c>
      <c r="D101" s="3">
        <v>9262</v>
      </c>
      <c r="E101" s="3">
        <v>26174.1</v>
      </c>
      <c r="F101" s="3">
        <f t="shared" si="4"/>
        <v>34898.799999999996</v>
      </c>
      <c r="G101" s="3">
        <v>0</v>
      </c>
      <c r="H101" s="5">
        <v>0</v>
      </c>
    </row>
    <row r="102" spans="1:8" ht="15" customHeight="1" x14ac:dyDescent="0.25">
      <c r="A102" s="2" t="s">
        <v>821</v>
      </c>
      <c r="B102" s="2" t="s">
        <v>822</v>
      </c>
      <c r="C102" s="3">
        <v>0</v>
      </c>
      <c r="D102" s="3">
        <v>0</v>
      </c>
      <c r="E102" s="3">
        <v>0</v>
      </c>
      <c r="F102" s="3">
        <f t="shared" si="4"/>
        <v>0</v>
      </c>
      <c r="G102" s="3">
        <v>100000</v>
      </c>
      <c r="H102" s="5">
        <v>0</v>
      </c>
    </row>
    <row r="103" spans="1:8" ht="15" customHeight="1" x14ac:dyDescent="0.25">
      <c r="A103" s="2" t="s">
        <v>823</v>
      </c>
      <c r="B103" s="2" t="s">
        <v>824</v>
      </c>
      <c r="C103" s="3">
        <v>0</v>
      </c>
      <c r="D103" s="3">
        <v>0</v>
      </c>
      <c r="E103" s="3">
        <v>0</v>
      </c>
      <c r="F103" s="3">
        <f t="shared" si="4"/>
        <v>0</v>
      </c>
      <c r="G103" s="3">
        <v>0</v>
      </c>
      <c r="H103" s="5">
        <v>0</v>
      </c>
    </row>
    <row r="104" spans="1:8" x14ac:dyDescent="0.25">
      <c r="A104" s="2" t="s">
        <v>825</v>
      </c>
      <c r="B104" s="2" t="s">
        <v>826</v>
      </c>
      <c r="C104" s="3">
        <v>0</v>
      </c>
      <c r="D104" s="3">
        <v>0</v>
      </c>
      <c r="E104" s="3">
        <v>0</v>
      </c>
      <c r="F104" s="3">
        <f t="shared" si="4"/>
        <v>0</v>
      </c>
      <c r="G104" s="3">
        <v>0</v>
      </c>
      <c r="H104" s="5">
        <v>0</v>
      </c>
    </row>
    <row r="105" spans="1:8" x14ac:dyDescent="0.25">
      <c r="A105" s="2" t="s">
        <v>827</v>
      </c>
      <c r="B105" s="2" t="s">
        <v>828</v>
      </c>
      <c r="C105" s="3">
        <v>0</v>
      </c>
      <c r="D105" s="3">
        <v>0</v>
      </c>
      <c r="E105" s="3">
        <v>0</v>
      </c>
      <c r="F105" s="3">
        <f t="shared" si="4"/>
        <v>0</v>
      </c>
      <c r="G105" s="3">
        <v>0</v>
      </c>
      <c r="H105" s="5">
        <v>0</v>
      </c>
    </row>
    <row r="106" spans="1:8" x14ac:dyDescent="0.25">
      <c r="A106" s="2" t="s">
        <v>829</v>
      </c>
      <c r="B106" s="2" t="s">
        <v>830</v>
      </c>
      <c r="C106" s="3">
        <v>0</v>
      </c>
      <c r="D106" s="3">
        <v>0</v>
      </c>
      <c r="E106" s="3">
        <v>0</v>
      </c>
      <c r="F106" s="3">
        <f t="shared" si="4"/>
        <v>0</v>
      </c>
      <c r="G106" s="3">
        <v>0</v>
      </c>
      <c r="H106" s="5">
        <v>0</v>
      </c>
    </row>
    <row r="107" spans="1:8" x14ac:dyDescent="0.25">
      <c r="A107" s="2" t="s">
        <v>831</v>
      </c>
      <c r="B107" s="2" t="s">
        <v>832</v>
      </c>
      <c r="C107" s="3">
        <v>0</v>
      </c>
      <c r="D107" s="3">
        <v>0</v>
      </c>
      <c r="E107" s="3">
        <v>0</v>
      </c>
      <c r="F107" s="3">
        <f t="shared" si="4"/>
        <v>0</v>
      </c>
      <c r="G107" s="3">
        <v>0</v>
      </c>
      <c r="H107" s="5">
        <v>0</v>
      </c>
    </row>
    <row r="108" spans="1:8" ht="15" customHeight="1" x14ac:dyDescent="0.25">
      <c r="A108" s="2" t="s">
        <v>833</v>
      </c>
      <c r="B108" s="2" t="s">
        <v>834</v>
      </c>
      <c r="C108" s="3">
        <v>0</v>
      </c>
      <c r="D108" s="3">
        <v>0</v>
      </c>
      <c r="E108" s="3">
        <v>0</v>
      </c>
      <c r="F108" s="3">
        <f t="shared" si="4"/>
        <v>0</v>
      </c>
      <c r="G108" s="3">
        <v>0</v>
      </c>
      <c r="H108" s="5">
        <v>0</v>
      </c>
    </row>
    <row r="109" spans="1:8" ht="15" customHeight="1" x14ac:dyDescent="0.25">
      <c r="A109" s="2" t="s">
        <v>835</v>
      </c>
      <c r="B109" s="2" t="s">
        <v>836</v>
      </c>
      <c r="C109" s="3">
        <v>0</v>
      </c>
      <c r="D109" s="3">
        <v>0</v>
      </c>
      <c r="E109" s="3">
        <v>0</v>
      </c>
      <c r="F109" s="3">
        <f t="shared" si="4"/>
        <v>0</v>
      </c>
      <c r="G109" s="3">
        <v>0</v>
      </c>
      <c r="H109" s="5">
        <v>0</v>
      </c>
    </row>
    <row r="110" spans="1:8" x14ac:dyDescent="0.25">
      <c r="A110" s="2" t="s">
        <v>837</v>
      </c>
      <c r="B110" s="2" t="s">
        <v>838</v>
      </c>
      <c r="C110" s="3">
        <v>33003.56</v>
      </c>
      <c r="D110" s="3">
        <v>17094.310000000001</v>
      </c>
      <c r="E110" s="3">
        <v>25584.17</v>
      </c>
      <c r="F110" s="3">
        <f t="shared" si="4"/>
        <v>34112.226666666662</v>
      </c>
      <c r="G110" s="3">
        <v>0</v>
      </c>
      <c r="H110" s="5">
        <v>50000</v>
      </c>
    </row>
    <row r="111" spans="1:8" x14ac:dyDescent="0.25">
      <c r="A111" s="2" t="s">
        <v>839</v>
      </c>
      <c r="B111" s="2" t="s">
        <v>840</v>
      </c>
      <c r="C111" s="3">
        <v>0</v>
      </c>
      <c r="D111" s="3">
        <v>0</v>
      </c>
      <c r="E111" s="3">
        <v>0</v>
      </c>
      <c r="F111" s="3">
        <f t="shared" si="4"/>
        <v>0</v>
      </c>
      <c r="G111" s="3">
        <v>0</v>
      </c>
      <c r="H111" s="5">
        <v>0</v>
      </c>
    </row>
    <row r="112" spans="1:8" x14ac:dyDescent="0.25">
      <c r="A112" s="2" t="s">
        <v>841</v>
      </c>
      <c r="B112" s="2" t="s">
        <v>842</v>
      </c>
      <c r="C112" s="3">
        <v>0</v>
      </c>
      <c r="D112" s="3">
        <v>0</v>
      </c>
      <c r="E112" s="3">
        <v>0</v>
      </c>
      <c r="F112" s="3">
        <f t="shared" si="4"/>
        <v>0</v>
      </c>
      <c r="G112" s="3">
        <v>0</v>
      </c>
      <c r="H112" s="5">
        <v>0</v>
      </c>
    </row>
    <row r="113" spans="1:8" ht="15" customHeight="1" x14ac:dyDescent="0.25">
      <c r="A113" s="2" t="s">
        <v>843</v>
      </c>
      <c r="B113" s="2" t="s">
        <v>844</v>
      </c>
      <c r="C113" s="3">
        <v>0</v>
      </c>
      <c r="D113" s="3">
        <v>0</v>
      </c>
      <c r="E113" s="3">
        <v>0</v>
      </c>
      <c r="F113" s="3">
        <f t="shared" si="4"/>
        <v>0</v>
      </c>
      <c r="G113" s="3">
        <v>0</v>
      </c>
      <c r="H113" s="5">
        <v>0</v>
      </c>
    </row>
    <row r="114" spans="1:8" ht="15" customHeight="1" x14ac:dyDescent="0.25">
      <c r="A114" s="2" t="s">
        <v>845</v>
      </c>
      <c r="B114" s="2" t="s">
        <v>846</v>
      </c>
      <c r="C114" s="3">
        <v>0</v>
      </c>
      <c r="D114" s="3">
        <v>0</v>
      </c>
      <c r="E114" s="3">
        <v>0</v>
      </c>
      <c r="F114" s="3">
        <f t="shared" si="4"/>
        <v>0</v>
      </c>
      <c r="G114" s="3">
        <v>0</v>
      </c>
      <c r="H114" s="5">
        <v>0</v>
      </c>
    </row>
    <row r="115" spans="1:8" ht="15" customHeight="1" x14ac:dyDescent="0.25">
      <c r="A115" s="2" t="s">
        <v>847</v>
      </c>
      <c r="B115" s="2" t="s">
        <v>848</v>
      </c>
      <c r="C115" s="3">
        <v>0</v>
      </c>
      <c r="D115" s="3">
        <v>0</v>
      </c>
      <c r="E115" s="3">
        <v>0</v>
      </c>
      <c r="F115" s="3">
        <f t="shared" si="4"/>
        <v>0</v>
      </c>
      <c r="G115" s="3">
        <v>0</v>
      </c>
      <c r="H115" s="5">
        <v>0</v>
      </c>
    </row>
    <row r="116" spans="1:8" ht="15" customHeight="1" x14ac:dyDescent="0.25">
      <c r="A116" s="2" t="s">
        <v>849</v>
      </c>
      <c r="B116" s="2" t="s">
        <v>850</v>
      </c>
      <c r="C116" s="3">
        <v>0</v>
      </c>
      <c r="D116" s="3">
        <v>0</v>
      </c>
      <c r="E116" s="3">
        <v>0</v>
      </c>
      <c r="F116" s="3">
        <f t="shared" si="4"/>
        <v>0</v>
      </c>
      <c r="G116" s="3">
        <v>0</v>
      </c>
      <c r="H116" s="5">
        <v>0</v>
      </c>
    </row>
    <row r="117" spans="1:8" ht="15" customHeight="1" x14ac:dyDescent="0.25">
      <c r="A117" s="2" t="s">
        <v>851</v>
      </c>
      <c r="B117" s="2" t="s">
        <v>852</v>
      </c>
      <c r="C117" s="3">
        <v>0</v>
      </c>
      <c r="D117" s="3">
        <v>0</v>
      </c>
      <c r="E117" s="3">
        <v>0</v>
      </c>
      <c r="F117" s="3">
        <f t="shared" si="4"/>
        <v>0</v>
      </c>
      <c r="G117" s="3">
        <v>0</v>
      </c>
      <c r="H117" s="5">
        <v>0</v>
      </c>
    </row>
    <row r="118" spans="1:8" ht="15" customHeight="1" x14ac:dyDescent="0.25">
      <c r="A118" s="2" t="s">
        <v>853</v>
      </c>
      <c r="B118" s="2" t="s">
        <v>854</v>
      </c>
      <c r="C118" s="3">
        <v>94059.75</v>
      </c>
      <c r="D118" s="3">
        <v>39109.519999999997</v>
      </c>
      <c r="E118" s="3">
        <v>110108.64</v>
      </c>
      <c r="F118" s="3">
        <f t="shared" si="4"/>
        <v>146811.51999999999</v>
      </c>
      <c r="G118" s="3">
        <v>150000</v>
      </c>
      <c r="H118" s="5">
        <v>0</v>
      </c>
    </row>
    <row r="119" spans="1:8" ht="15" customHeight="1" x14ac:dyDescent="0.25">
      <c r="A119" s="2" t="s">
        <v>855</v>
      </c>
      <c r="B119" s="2" t="s">
        <v>856</v>
      </c>
      <c r="C119" s="3">
        <v>0</v>
      </c>
      <c r="D119" s="3">
        <v>0</v>
      </c>
      <c r="E119" s="3">
        <v>0</v>
      </c>
      <c r="F119" s="3">
        <f t="shared" si="4"/>
        <v>0</v>
      </c>
      <c r="G119" s="3">
        <v>1600000</v>
      </c>
      <c r="H119" s="5">
        <v>2980000</v>
      </c>
    </row>
    <row r="120" spans="1:8" ht="15" customHeight="1" x14ac:dyDescent="0.25">
      <c r="A120" s="2" t="s">
        <v>857</v>
      </c>
      <c r="B120" s="2" t="s">
        <v>858</v>
      </c>
      <c r="C120" s="3">
        <v>0</v>
      </c>
      <c r="D120" s="3">
        <v>0</v>
      </c>
      <c r="E120" s="3">
        <v>0</v>
      </c>
      <c r="F120" s="3">
        <f t="shared" si="4"/>
        <v>0</v>
      </c>
      <c r="G120" s="3">
        <v>0</v>
      </c>
      <c r="H120" s="5">
        <v>0</v>
      </c>
    </row>
    <row r="121" spans="1:8" ht="15" customHeight="1" x14ac:dyDescent="0.25">
      <c r="A121" s="2" t="s">
        <v>859</v>
      </c>
      <c r="B121" s="2" t="s">
        <v>860</v>
      </c>
      <c r="C121" s="3">
        <v>0</v>
      </c>
      <c r="D121" s="3">
        <v>0</v>
      </c>
      <c r="E121" s="3">
        <v>0</v>
      </c>
      <c r="F121" s="3">
        <f t="shared" si="4"/>
        <v>0</v>
      </c>
      <c r="G121" s="3">
        <v>0</v>
      </c>
      <c r="H121" s="5">
        <v>0</v>
      </c>
    </row>
    <row r="122" spans="1:8" ht="15" customHeight="1" x14ac:dyDescent="0.25">
      <c r="A122" s="2" t="s">
        <v>861</v>
      </c>
      <c r="B122" s="2" t="s">
        <v>862</v>
      </c>
      <c r="C122" s="3">
        <v>31064.639999999999</v>
      </c>
      <c r="D122" s="3">
        <v>6972.15</v>
      </c>
      <c r="E122" s="3">
        <v>22274.13</v>
      </c>
      <c r="F122" s="3">
        <f t="shared" si="4"/>
        <v>29698.840000000004</v>
      </c>
      <c r="G122" s="3">
        <v>50000</v>
      </c>
      <c r="H122" s="5">
        <v>50000</v>
      </c>
    </row>
    <row r="123" spans="1:8" ht="15" customHeight="1" x14ac:dyDescent="0.25">
      <c r="A123" s="2" t="s">
        <v>863</v>
      </c>
      <c r="B123" s="2" t="s">
        <v>864</v>
      </c>
      <c r="C123" s="3">
        <v>0</v>
      </c>
      <c r="D123" s="3">
        <v>0</v>
      </c>
      <c r="E123" s="3">
        <v>0</v>
      </c>
      <c r="F123" s="3">
        <f t="shared" si="4"/>
        <v>0</v>
      </c>
      <c r="G123" s="3">
        <v>0</v>
      </c>
      <c r="H123" s="5">
        <v>0</v>
      </c>
    </row>
    <row r="124" spans="1:8" ht="15" customHeight="1" x14ac:dyDescent="0.25">
      <c r="A124" s="2" t="s">
        <v>865</v>
      </c>
      <c r="B124" s="2" t="s">
        <v>866</v>
      </c>
      <c r="C124" s="3">
        <v>0</v>
      </c>
      <c r="D124" s="3">
        <v>0</v>
      </c>
      <c r="E124" s="3">
        <v>0</v>
      </c>
      <c r="F124" s="3">
        <f t="shared" si="4"/>
        <v>0</v>
      </c>
      <c r="G124" s="3">
        <v>250000</v>
      </c>
      <c r="H124" s="5">
        <v>500000</v>
      </c>
    </row>
    <row r="125" spans="1:8" ht="15" customHeight="1" x14ac:dyDescent="0.25">
      <c r="A125" s="2" t="s">
        <v>867</v>
      </c>
      <c r="B125" s="2" t="s">
        <v>868</v>
      </c>
      <c r="C125" s="3">
        <v>0</v>
      </c>
      <c r="D125" s="3">
        <v>0</v>
      </c>
      <c r="E125" s="3">
        <v>0</v>
      </c>
      <c r="F125" s="3">
        <f t="shared" si="4"/>
        <v>0</v>
      </c>
      <c r="G125" s="3">
        <v>0</v>
      </c>
      <c r="H125" s="5">
        <v>0</v>
      </c>
    </row>
    <row r="126" spans="1:8" ht="15" customHeight="1" x14ac:dyDescent="0.25">
      <c r="A126" s="2" t="s">
        <v>869</v>
      </c>
      <c r="B126" s="2" t="s">
        <v>870</v>
      </c>
      <c r="C126" s="3">
        <v>0</v>
      </c>
      <c r="D126" s="3">
        <v>0</v>
      </c>
      <c r="E126" s="3">
        <v>0</v>
      </c>
      <c r="F126" s="3">
        <f t="shared" si="4"/>
        <v>0</v>
      </c>
      <c r="G126" s="3">
        <v>0</v>
      </c>
      <c r="H126" s="5">
        <v>0</v>
      </c>
    </row>
    <row r="127" spans="1:8" ht="15" customHeight="1" x14ac:dyDescent="0.25">
      <c r="A127" s="2" t="s">
        <v>871</v>
      </c>
      <c r="B127" s="2" t="s">
        <v>872</v>
      </c>
      <c r="C127" s="3">
        <v>0</v>
      </c>
      <c r="D127" s="3">
        <v>5892.83</v>
      </c>
      <c r="E127" s="3">
        <v>5892.83</v>
      </c>
      <c r="F127" s="3">
        <f t="shared" si="4"/>
        <v>7857.1066666666666</v>
      </c>
      <c r="G127" s="3">
        <v>0</v>
      </c>
      <c r="H127" s="5">
        <v>0</v>
      </c>
    </row>
    <row r="128" spans="1:8" ht="15" customHeight="1" x14ac:dyDescent="0.25">
      <c r="A128" s="2" t="s">
        <v>873</v>
      </c>
      <c r="B128" s="2" t="s">
        <v>874</v>
      </c>
      <c r="C128" s="3">
        <v>23710.17</v>
      </c>
      <c r="D128" s="3">
        <v>776.88</v>
      </c>
      <c r="E128" s="3">
        <v>776.88</v>
      </c>
      <c r="F128" s="3">
        <f t="shared" si="4"/>
        <v>1035.8399999999999</v>
      </c>
      <c r="G128" s="3">
        <v>150000</v>
      </c>
      <c r="H128" s="5">
        <v>150000</v>
      </c>
    </row>
    <row r="129" spans="1:8" ht="15" customHeight="1" x14ac:dyDescent="0.25">
      <c r="A129" s="2" t="s">
        <v>875</v>
      </c>
      <c r="B129" s="2" t="s">
        <v>876</v>
      </c>
      <c r="C129" s="3">
        <v>6407.5</v>
      </c>
      <c r="D129" s="3">
        <v>3617.5</v>
      </c>
      <c r="E129" s="3">
        <v>3617.5</v>
      </c>
      <c r="F129" s="3">
        <f t="shared" si="4"/>
        <v>4823.3333333333339</v>
      </c>
      <c r="G129" s="3">
        <v>100000</v>
      </c>
      <c r="H129" s="5">
        <v>50000</v>
      </c>
    </row>
    <row r="130" spans="1:8" ht="15" customHeight="1" x14ac:dyDescent="0.25">
      <c r="A130" s="2" t="s">
        <v>877</v>
      </c>
      <c r="B130" s="2" t="s">
        <v>878</v>
      </c>
      <c r="C130" s="3">
        <v>0</v>
      </c>
      <c r="D130" s="3">
        <v>0</v>
      </c>
      <c r="E130" s="3">
        <v>0</v>
      </c>
      <c r="F130" s="3">
        <f t="shared" si="4"/>
        <v>0</v>
      </c>
      <c r="G130" s="3">
        <v>0</v>
      </c>
      <c r="H130" s="5">
        <v>0</v>
      </c>
    </row>
    <row r="131" spans="1:8" ht="15" customHeight="1" x14ac:dyDescent="0.25">
      <c r="A131" s="2" t="s">
        <v>879</v>
      </c>
      <c r="B131" s="2" t="s">
        <v>880</v>
      </c>
      <c r="C131" s="3">
        <v>0</v>
      </c>
      <c r="D131" s="3">
        <v>0</v>
      </c>
      <c r="E131" s="3">
        <v>0</v>
      </c>
      <c r="F131" s="3">
        <f t="shared" si="4"/>
        <v>0</v>
      </c>
      <c r="G131" s="3">
        <v>0</v>
      </c>
      <c r="H131" s="5">
        <v>0</v>
      </c>
    </row>
    <row r="132" spans="1:8" ht="15" customHeight="1" x14ac:dyDescent="0.25">
      <c r="A132" s="2" t="s">
        <v>3419</v>
      </c>
      <c r="B132" s="2" t="s">
        <v>4099</v>
      </c>
      <c r="C132" s="3">
        <v>0</v>
      </c>
      <c r="D132" s="3"/>
      <c r="E132" s="3"/>
      <c r="F132" s="3">
        <v>0</v>
      </c>
      <c r="G132" s="3">
        <v>0</v>
      </c>
      <c r="H132" s="5">
        <v>500000</v>
      </c>
    </row>
    <row r="133" spans="1:8" ht="15" customHeight="1" x14ac:dyDescent="0.25">
      <c r="A133" s="1" t="s">
        <v>881</v>
      </c>
      <c r="B133" s="1" t="s">
        <v>2</v>
      </c>
      <c r="C133" s="4">
        <v>274141.56</v>
      </c>
      <c r="D133" s="4">
        <v>83598.78</v>
      </c>
      <c r="E133" s="4">
        <f>SUM(E95:E131)</f>
        <v>196033.21</v>
      </c>
      <c r="F133" s="4">
        <f>SUM(F95:F132)</f>
        <v>261377.61333333331</v>
      </c>
      <c r="G133" s="6">
        <f>SUM(G95:G132)</f>
        <v>2900000</v>
      </c>
      <c r="H133" s="6">
        <f>SUM(H95:H132)</f>
        <v>4780000</v>
      </c>
    </row>
    <row r="134" spans="1:8" x14ac:dyDescent="0.25">
      <c r="A134" s="1" t="s">
        <v>2</v>
      </c>
      <c r="B134" s="1" t="s">
        <v>2</v>
      </c>
      <c r="C134" s="1" t="s">
        <v>2</v>
      </c>
      <c r="D134" s="1" t="s">
        <v>2</v>
      </c>
      <c r="E134" s="1"/>
      <c r="F134" s="1"/>
      <c r="G134" s="1" t="s">
        <v>2</v>
      </c>
      <c r="H134" s="1" t="s">
        <v>2</v>
      </c>
    </row>
    <row r="135" spans="1:8" x14ac:dyDescent="0.25">
      <c r="A135" s="1" t="s">
        <v>882</v>
      </c>
      <c r="B135" s="1" t="s">
        <v>2</v>
      </c>
    </row>
    <row r="136" spans="1:8" ht="15" customHeight="1" x14ac:dyDescent="0.25">
      <c r="A136" s="2" t="s">
        <v>883</v>
      </c>
      <c r="B136" s="2" t="s">
        <v>108</v>
      </c>
      <c r="C136" s="3">
        <v>27213.47</v>
      </c>
      <c r="D136" s="3">
        <v>5416.25</v>
      </c>
      <c r="E136" s="3">
        <v>15027.07</v>
      </c>
      <c r="F136" s="3">
        <f t="shared" ref="F136:F143" si="5">E136/9*12</f>
        <v>20036.093333333331</v>
      </c>
      <c r="G136" s="3">
        <v>9328.48</v>
      </c>
      <c r="H136" s="302">
        <v>28935.4</v>
      </c>
    </row>
    <row r="137" spans="1:8" ht="15" customHeight="1" x14ac:dyDescent="0.25">
      <c r="A137" s="2" t="s">
        <v>884</v>
      </c>
      <c r="B137" s="2" t="s">
        <v>29</v>
      </c>
      <c r="C137" s="3">
        <v>7088.95</v>
      </c>
      <c r="D137" s="3">
        <v>1650.28</v>
      </c>
      <c r="E137" s="3">
        <v>4665.12</v>
      </c>
      <c r="F137" s="3">
        <f t="shared" si="5"/>
        <v>6220.16</v>
      </c>
      <c r="G137" s="3">
        <v>2920.61</v>
      </c>
      <c r="H137" s="302">
        <v>8011.14</v>
      </c>
    </row>
    <row r="138" spans="1:8" ht="15" customHeight="1" x14ac:dyDescent="0.25">
      <c r="A138" s="2" t="s">
        <v>885</v>
      </c>
      <c r="B138" s="2" t="s">
        <v>128</v>
      </c>
      <c r="C138" s="3">
        <v>669.4</v>
      </c>
      <c r="D138" s="3">
        <v>92.7</v>
      </c>
      <c r="E138" s="3">
        <v>293.5</v>
      </c>
      <c r="F138" s="3">
        <f t="shared" si="5"/>
        <v>391.33333333333337</v>
      </c>
      <c r="G138" s="3">
        <v>236.71</v>
      </c>
      <c r="H138" s="302">
        <v>564.20000000000005</v>
      </c>
    </row>
    <row r="139" spans="1:8" ht="15" customHeight="1" x14ac:dyDescent="0.25">
      <c r="A139" s="2" t="s">
        <v>886</v>
      </c>
      <c r="B139" s="2" t="s">
        <v>33</v>
      </c>
      <c r="C139" s="3">
        <v>3785.32</v>
      </c>
      <c r="D139" s="3">
        <v>601.05999999999995</v>
      </c>
      <c r="E139" s="3">
        <v>1744.64</v>
      </c>
      <c r="F139" s="3">
        <f t="shared" si="5"/>
        <v>2326.1866666666665</v>
      </c>
      <c r="G139" s="3">
        <v>1097.77</v>
      </c>
      <c r="H139" s="302">
        <v>3010.59</v>
      </c>
    </row>
    <row r="140" spans="1:8" ht="15" customHeight="1" x14ac:dyDescent="0.25">
      <c r="A140" s="2" t="s">
        <v>887</v>
      </c>
      <c r="B140" s="2" t="s">
        <v>11</v>
      </c>
      <c r="C140" s="3">
        <v>2051.6999999999998</v>
      </c>
      <c r="D140" s="3">
        <v>403.24</v>
      </c>
      <c r="E140" s="3">
        <v>1115.74</v>
      </c>
      <c r="F140" s="3">
        <f t="shared" si="5"/>
        <v>1487.6533333333334</v>
      </c>
      <c r="G140" s="3">
        <v>713.63</v>
      </c>
      <c r="H140" s="302">
        <v>2213.56</v>
      </c>
    </row>
    <row r="141" spans="1:8" ht="15" customHeight="1" x14ac:dyDescent="0.25">
      <c r="A141" s="2" t="s">
        <v>888</v>
      </c>
      <c r="B141" s="2" t="s">
        <v>13</v>
      </c>
      <c r="C141" s="3">
        <v>39.94</v>
      </c>
      <c r="D141" s="3">
        <v>11.76</v>
      </c>
      <c r="E141" s="3">
        <v>31.93</v>
      </c>
      <c r="F141" s="3">
        <f t="shared" si="5"/>
        <v>42.573333333333331</v>
      </c>
      <c r="G141" s="3">
        <v>13.71</v>
      </c>
      <c r="H141" s="302">
        <v>63.72</v>
      </c>
    </row>
    <row r="142" spans="1:8" ht="15" customHeight="1" x14ac:dyDescent="0.25">
      <c r="A142" s="2" t="s">
        <v>889</v>
      </c>
      <c r="B142" s="2" t="s">
        <v>890</v>
      </c>
      <c r="C142" s="3">
        <v>39.54</v>
      </c>
      <c r="D142" s="3">
        <v>8.6</v>
      </c>
      <c r="E142" s="3">
        <v>10.93</v>
      </c>
      <c r="F142" s="3">
        <f t="shared" si="5"/>
        <v>14.573333333333334</v>
      </c>
      <c r="G142" s="3">
        <v>34.729999999999997</v>
      </c>
      <c r="H142" s="302">
        <v>102.91</v>
      </c>
    </row>
    <row r="143" spans="1:8" ht="15" customHeight="1" x14ac:dyDescent="0.25">
      <c r="A143" s="2" t="s">
        <v>891</v>
      </c>
      <c r="B143" s="2" t="s">
        <v>39</v>
      </c>
      <c r="C143" s="3">
        <v>4199.01</v>
      </c>
      <c r="D143" s="3">
        <v>1381.48</v>
      </c>
      <c r="E143" s="3">
        <v>1446.63</v>
      </c>
      <c r="F143" s="3">
        <f t="shared" si="5"/>
        <v>1928.8400000000001</v>
      </c>
      <c r="G143" s="3">
        <v>5000</v>
      </c>
      <c r="H143" s="302">
        <v>5000</v>
      </c>
    </row>
    <row r="144" spans="1:8" ht="15" customHeight="1" x14ac:dyDescent="0.25">
      <c r="A144" s="1" t="s">
        <v>892</v>
      </c>
      <c r="B144" s="1" t="s">
        <v>2</v>
      </c>
      <c r="C144" s="4">
        <v>45087.33</v>
      </c>
      <c r="D144" s="4">
        <v>9565.3700000000008</v>
      </c>
      <c r="E144" s="4">
        <f>SUM(E136:E143)</f>
        <v>24335.56</v>
      </c>
      <c r="F144" s="4">
        <f>SUM(F136:F143)</f>
        <v>32447.41333333333</v>
      </c>
      <c r="G144" s="6">
        <f>SUM(G136:G143)</f>
        <v>19345.64</v>
      </c>
      <c r="H144" s="304">
        <f>SUM(H136:H143)</f>
        <v>47901.520000000004</v>
      </c>
    </row>
    <row r="145" spans="1:8" x14ac:dyDescent="0.25">
      <c r="A145" s="1" t="s">
        <v>2</v>
      </c>
      <c r="B145" s="1" t="s">
        <v>2</v>
      </c>
      <c r="C145" s="1" t="s">
        <v>2</v>
      </c>
      <c r="D145" s="1" t="s">
        <v>2</v>
      </c>
      <c r="E145" s="1"/>
      <c r="F145" s="1"/>
      <c r="G145" s="1" t="s">
        <v>2</v>
      </c>
      <c r="H145" s="305" t="s">
        <v>2</v>
      </c>
    </row>
    <row r="146" spans="1:8" ht="15" customHeight="1" x14ac:dyDescent="0.25">
      <c r="A146" s="1" t="s">
        <v>893</v>
      </c>
      <c r="B146" s="1" t="s">
        <v>2</v>
      </c>
      <c r="H146" s="92"/>
    </row>
    <row r="147" spans="1:8" ht="15" customHeight="1" x14ac:dyDescent="0.25">
      <c r="A147" s="2" t="s">
        <v>894</v>
      </c>
      <c r="B147" s="2" t="s">
        <v>108</v>
      </c>
      <c r="C147" s="3">
        <v>89336.55</v>
      </c>
      <c r="D147" s="3">
        <v>32144.57</v>
      </c>
      <c r="E147" s="3">
        <v>56642.96</v>
      </c>
      <c r="F147" s="3">
        <f t="shared" ref="F147:F169" si="6">E147/9*12</f>
        <v>75523.94666666667</v>
      </c>
      <c r="G147" s="3">
        <v>197189.49</v>
      </c>
      <c r="H147" s="302">
        <v>198504.35</v>
      </c>
    </row>
    <row r="148" spans="1:8" ht="15" customHeight="1" x14ac:dyDescent="0.25">
      <c r="A148" s="2" t="s">
        <v>895</v>
      </c>
      <c r="B148" s="2" t="s">
        <v>652</v>
      </c>
      <c r="C148" s="3">
        <v>27206.35</v>
      </c>
      <c r="D148" s="3">
        <v>13591.92</v>
      </c>
      <c r="E148" s="3">
        <v>18922.52</v>
      </c>
      <c r="F148" s="3">
        <f t="shared" si="6"/>
        <v>25230.026666666668</v>
      </c>
      <c r="G148" s="3">
        <v>64513.4</v>
      </c>
      <c r="H148" s="302">
        <v>64238.35</v>
      </c>
    </row>
    <row r="149" spans="1:8" ht="15" customHeight="1" x14ac:dyDescent="0.25">
      <c r="A149" s="2" t="s">
        <v>896</v>
      </c>
      <c r="B149" s="2" t="s">
        <v>29</v>
      </c>
      <c r="C149" s="3">
        <v>21684.52</v>
      </c>
      <c r="D149" s="3">
        <v>8630.83</v>
      </c>
      <c r="E149" s="3">
        <v>14132.53</v>
      </c>
      <c r="F149" s="3">
        <f t="shared" si="6"/>
        <v>18843.373333333333</v>
      </c>
      <c r="G149" s="3">
        <v>43420.65</v>
      </c>
      <c r="H149" s="302">
        <f>23689.31+14053.26</f>
        <v>37742.57</v>
      </c>
    </row>
    <row r="150" spans="1:8" ht="15" customHeight="1" x14ac:dyDescent="0.25">
      <c r="A150" s="2" t="s">
        <v>897</v>
      </c>
      <c r="B150" s="2" t="s">
        <v>128</v>
      </c>
      <c r="C150" s="3">
        <v>772.19</v>
      </c>
      <c r="D150" s="3">
        <v>168.72</v>
      </c>
      <c r="E150" s="3">
        <v>346.33</v>
      </c>
      <c r="F150" s="3">
        <f t="shared" si="6"/>
        <v>461.77333333333331</v>
      </c>
      <c r="G150" s="3">
        <v>2153.84</v>
      </c>
      <c r="H150" s="302">
        <f>1471.13+409.33</f>
        <v>1880.46</v>
      </c>
    </row>
    <row r="151" spans="1:8" ht="15" customHeight="1" x14ac:dyDescent="0.25">
      <c r="A151" s="2" t="s">
        <v>898</v>
      </c>
      <c r="B151" s="2" t="s">
        <v>33</v>
      </c>
      <c r="C151" s="3">
        <v>15828.95</v>
      </c>
      <c r="D151" s="3">
        <v>5245.07</v>
      </c>
      <c r="E151" s="3">
        <v>9071.7900000000009</v>
      </c>
      <c r="F151" s="3">
        <f t="shared" si="6"/>
        <v>12095.720000000001</v>
      </c>
      <c r="G151" s="3">
        <v>32785.800000000003</v>
      </c>
      <c r="H151" s="302">
        <f>20624.6+6674.36</f>
        <v>27298.959999999999</v>
      </c>
    </row>
    <row r="152" spans="1:8" ht="15" customHeight="1" x14ac:dyDescent="0.25">
      <c r="A152" s="2" t="s">
        <v>899</v>
      </c>
      <c r="B152" s="2" t="s">
        <v>11</v>
      </c>
      <c r="C152" s="3">
        <v>8846.89</v>
      </c>
      <c r="D152" s="3">
        <v>3472.37</v>
      </c>
      <c r="E152" s="3">
        <v>5734.65</v>
      </c>
      <c r="F152" s="3">
        <f t="shared" si="6"/>
        <v>7646.1999999999989</v>
      </c>
      <c r="G152" s="3">
        <v>20020.27</v>
      </c>
      <c r="H152" s="302">
        <f>15185.58+4914.23</f>
        <v>20099.809999999998</v>
      </c>
    </row>
    <row r="153" spans="1:8" ht="15" customHeight="1" x14ac:dyDescent="0.25">
      <c r="A153" s="2" t="s">
        <v>900</v>
      </c>
      <c r="B153" s="2" t="s">
        <v>13</v>
      </c>
      <c r="C153" s="3">
        <v>171</v>
      </c>
      <c r="D153" s="3">
        <v>92.6</v>
      </c>
      <c r="E153" s="3">
        <v>156.84</v>
      </c>
      <c r="F153" s="3">
        <f t="shared" si="6"/>
        <v>209.12</v>
      </c>
      <c r="G153" s="3">
        <v>384.7</v>
      </c>
      <c r="H153" s="302">
        <f>414.37+137.96</f>
        <v>552.33000000000004</v>
      </c>
    </row>
    <row r="154" spans="1:8" ht="15" customHeight="1" x14ac:dyDescent="0.25">
      <c r="A154" s="2" t="s">
        <v>901</v>
      </c>
      <c r="B154" s="2" t="s">
        <v>286</v>
      </c>
      <c r="C154" s="3">
        <v>192</v>
      </c>
      <c r="D154" s="3">
        <v>0</v>
      </c>
      <c r="E154" s="3">
        <v>0</v>
      </c>
      <c r="F154" s="3">
        <f t="shared" si="6"/>
        <v>0</v>
      </c>
      <c r="G154" s="3">
        <v>440</v>
      </c>
      <c r="H154" s="302">
        <f>399.65</f>
        <v>399.65</v>
      </c>
    </row>
    <row r="155" spans="1:8" ht="15" customHeight="1" x14ac:dyDescent="0.25">
      <c r="A155" s="2" t="s">
        <v>902</v>
      </c>
      <c r="B155" s="2" t="s">
        <v>37</v>
      </c>
      <c r="C155" s="3">
        <v>1319.24</v>
      </c>
      <c r="D155" s="3">
        <v>159.55000000000001</v>
      </c>
      <c r="E155" s="3">
        <v>620.84</v>
      </c>
      <c r="F155" s="3">
        <f t="shared" si="6"/>
        <v>827.78666666666663</v>
      </c>
      <c r="G155" s="3">
        <v>1300</v>
      </c>
      <c r="H155" s="5">
        <v>1500</v>
      </c>
    </row>
    <row r="156" spans="1:8" ht="15" customHeight="1" x14ac:dyDescent="0.25">
      <c r="A156" s="2" t="s">
        <v>903</v>
      </c>
      <c r="B156" s="2" t="s">
        <v>39</v>
      </c>
      <c r="C156" s="3">
        <v>0</v>
      </c>
      <c r="D156" s="3">
        <v>0</v>
      </c>
      <c r="E156" s="3">
        <v>0</v>
      </c>
      <c r="F156" s="3">
        <f t="shared" si="6"/>
        <v>0</v>
      </c>
      <c r="G156" s="3">
        <v>0</v>
      </c>
      <c r="H156" s="5">
        <v>0</v>
      </c>
    </row>
    <row r="157" spans="1:8" ht="15" customHeight="1" x14ac:dyDescent="0.25">
      <c r="A157" s="2" t="s">
        <v>904</v>
      </c>
      <c r="B157" s="2" t="s">
        <v>905</v>
      </c>
      <c r="C157" s="3">
        <v>240.62</v>
      </c>
      <c r="D157" s="3">
        <v>0</v>
      </c>
      <c r="E157" s="3">
        <v>0</v>
      </c>
      <c r="F157" s="3">
        <f t="shared" si="6"/>
        <v>0</v>
      </c>
      <c r="G157" s="3">
        <v>1000</v>
      </c>
      <c r="H157" s="5">
        <v>1000</v>
      </c>
    </row>
    <row r="158" spans="1:8" ht="15" customHeight="1" x14ac:dyDescent="0.25">
      <c r="A158" s="2" t="s">
        <v>906</v>
      </c>
      <c r="B158" s="2" t="s">
        <v>907</v>
      </c>
      <c r="C158" s="3">
        <v>135220.87</v>
      </c>
      <c r="D158" s="3">
        <v>115036.77</v>
      </c>
      <c r="E158" s="3">
        <v>115036.77</v>
      </c>
      <c r="F158" s="3">
        <f t="shared" si="6"/>
        <v>153382.36000000002</v>
      </c>
      <c r="G158" s="3">
        <v>115036.77</v>
      </c>
      <c r="H158" s="5">
        <f>'Central Services'!$C$5</f>
        <v>135220.87</v>
      </c>
    </row>
    <row r="159" spans="1:8" ht="15" customHeight="1" x14ac:dyDescent="0.25">
      <c r="A159" s="2" t="s">
        <v>908</v>
      </c>
      <c r="B159" s="2" t="s">
        <v>43</v>
      </c>
      <c r="C159" s="3">
        <v>86909.759999999995</v>
      </c>
      <c r="D159" s="3">
        <v>57524.02</v>
      </c>
      <c r="E159" s="3">
        <v>57524.02</v>
      </c>
      <c r="F159" s="3">
        <f t="shared" si="6"/>
        <v>76698.693333333329</v>
      </c>
      <c r="G159" s="3">
        <v>57524.02</v>
      </c>
      <c r="H159" s="5">
        <f>Equipment!$C$16</f>
        <v>86909.759772522521</v>
      </c>
    </row>
    <row r="160" spans="1:8" x14ac:dyDescent="0.25">
      <c r="A160" s="2" t="s">
        <v>909</v>
      </c>
      <c r="B160" s="2" t="s">
        <v>15</v>
      </c>
      <c r="C160" s="3">
        <v>6524.25</v>
      </c>
      <c r="D160" s="3">
        <v>8419.81</v>
      </c>
      <c r="E160" s="3">
        <v>8419.81</v>
      </c>
      <c r="F160" s="3">
        <f t="shared" si="6"/>
        <v>11226.413333333332</v>
      </c>
      <c r="G160" s="3">
        <v>8419.81</v>
      </c>
      <c r="H160" s="5">
        <f>'Computer '!$D$18</f>
        <v>6524.2466163985628</v>
      </c>
    </row>
    <row r="161" spans="1:8" ht="15" customHeight="1" x14ac:dyDescent="0.25">
      <c r="A161" s="2" t="s">
        <v>910</v>
      </c>
      <c r="B161" s="2" t="s">
        <v>95</v>
      </c>
      <c r="C161" s="3">
        <v>3168.97</v>
      </c>
      <c r="D161" s="3">
        <v>1999</v>
      </c>
      <c r="E161" s="3">
        <v>4783.7299999999996</v>
      </c>
      <c r="F161" s="3">
        <f t="shared" si="6"/>
        <v>6378.3066666666655</v>
      </c>
      <c r="G161" s="3">
        <v>50000</v>
      </c>
      <c r="H161" s="5">
        <v>50000</v>
      </c>
    </row>
    <row r="162" spans="1:8" ht="15" customHeight="1" x14ac:dyDescent="0.25">
      <c r="A162" s="2" t="s">
        <v>911</v>
      </c>
      <c r="B162" s="2" t="s">
        <v>912</v>
      </c>
      <c r="C162" s="3">
        <v>14603.3</v>
      </c>
      <c r="D162" s="3">
        <v>21906.25</v>
      </c>
      <c r="E162" s="3">
        <v>75396.13</v>
      </c>
      <c r="F162" s="3">
        <f t="shared" si="6"/>
        <v>100528.17333333334</v>
      </c>
      <c r="G162" s="3">
        <v>10000</v>
      </c>
      <c r="H162" s="5">
        <v>25000</v>
      </c>
    </row>
    <row r="163" spans="1:8" ht="15" customHeight="1" x14ac:dyDescent="0.25">
      <c r="A163" s="2" t="s">
        <v>913</v>
      </c>
      <c r="B163" s="2" t="s">
        <v>99</v>
      </c>
      <c r="C163" s="3">
        <v>5367.47</v>
      </c>
      <c r="D163" s="3">
        <v>1570.53</v>
      </c>
      <c r="E163" s="3">
        <v>3155.36</v>
      </c>
      <c r="F163" s="3">
        <f t="shared" si="6"/>
        <v>4207.1466666666665</v>
      </c>
      <c r="G163" s="3">
        <v>4200</v>
      </c>
      <c r="H163" s="5">
        <f>Phone!$C$15</f>
        <v>5500</v>
      </c>
    </row>
    <row r="164" spans="1:8" ht="15" customHeight="1" x14ac:dyDescent="0.25">
      <c r="A164" s="2" t="s">
        <v>914</v>
      </c>
      <c r="B164" s="2" t="s">
        <v>17</v>
      </c>
      <c r="C164" s="3">
        <v>0</v>
      </c>
      <c r="D164" s="3">
        <v>0</v>
      </c>
      <c r="E164" s="3">
        <v>0</v>
      </c>
      <c r="F164" s="3">
        <f t="shared" si="6"/>
        <v>0</v>
      </c>
      <c r="G164" s="3">
        <v>500</v>
      </c>
      <c r="H164" s="5">
        <v>500</v>
      </c>
    </row>
    <row r="165" spans="1:8" ht="15" customHeight="1" x14ac:dyDescent="0.25">
      <c r="A165" s="2" t="s">
        <v>915</v>
      </c>
      <c r="B165" s="2" t="s">
        <v>144</v>
      </c>
      <c r="C165" s="3">
        <v>602.91</v>
      </c>
      <c r="D165" s="3">
        <v>0</v>
      </c>
      <c r="E165" s="3">
        <v>0</v>
      </c>
      <c r="F165" s="3">
        <f t="shared" si="6"/>
        <v>0</v>
      </c>
      <c r="G165" s="3">
        <v>1000</v>
      </c>
      <c r="H165" s="5">
        <v>1000</v>
      </c>
    </row>
    <row r="166" spans="1:8" ht="15" customHeight="1" x14ac:dyDescent="0.25">
      <c r="A166" s="2" t="s">
        <v>916</v>
      </c>
      <c r="B166" s="2" t="s">
        <v>917</v>
      </c>
      <c r="C166" s="3">
        <v>1476.96</v>
      </c>
      <c r="D166" s="3">
        <v>615.75</v>
      </c>
      <c r="E166" s="3">
        <v>1108.3499999999999</v>
      </c>
      <c r="F166" s="3">
        <f t="shared" si="6"/>
        <v>1477.8</v>
      </c>
      <c r="G166" s="3">
        <v>1500</v>
      </c>
      <c r="H166" s="5">
        <v>1800</v>
      </c>
    </row>
    <row r="167" spans="1:8" ht="15" customHeight="1" x14ac:dyDescent="0.25">
      <c r="A167" s="2" t="s">
        <v>918</v>
      </c>
      <c r="B167" s="2" t="s">
        <v>62</v>
      </c>
      <c r="C167" s="3">
        <v>621.24</v>
      </c>
      <c r="D167" s="3">
        <v>237.51</v>
      </c>
      <c r="E167" s="3">
        <v>444.17</v>
      </c>
      <c r="F167" s="3">
        <f t="shared" si="6"/>
        <v>592.22666666666669</v>
      </c>
      <c r="G167" s="3">
        <v>900</v>
      </c>
      <c r="H167" s="5">
        <v>900</v>
      </c>
    </row>
    <row r="168" spans="1:8" ht="15" customHeight="1" x14ac:dyDescent="0.25">
      <c r="A168" s="2" t="s">
        <v>919</v>
      </c>
      <c r="B168" s="2" t="s">
        <v>64</v>
      </c>
      <c r="C168" s="3">
        <v>398.71</v>
      </c>
      <c r="D168" s="3">
        <v>6</v>
      </c>
      <c r="E168" s="3">
        <v>141</v>
      </c>
      <c r="F168" s="3">
        <f t="shared" si="6"/>
        <v>188</v>
      </c>
      <c r="G168" s="3">
        <v>1000</v>
      </c>
      <c r="H168" s="5">
        <v>1000</v>
      </c>
    </row>
    <row r="169" spans="1:8" ht="15" customHeight="1" x14ac:dyDescent="0.25">
      <c r="A169" s="2" t="s">
        <v>920</v>
      </c>
      <c r="B169" s="2" t="s">
        <v>66</v>
      </c>
      <c r="C169" s="3">
        <v>100</v>
      </c>
      <c r="D169" s="3">
        <v>0</v>
      </c>
      <c r="E169" s="3">
        <v>550</v>
      </c>
      <c r="F169" s="3">
        <f t="shared" si="6"/>
        <v>733.33333333333337</v>
      </c>
      <c r="G169" s="3">
        <v>2500</v>
      </c>
      <c r="H169" s="302">
        <v>2500</v>
      </c>
    </row>
    <row r="170" spans="1:8" ht="15" customHeight="1" x14ac:dyDescent="0.25">
      <c r="A170" s="1" t="s">
        <v>921</v>
      </c>
      <c r="B170" s="1" t="s">
        <v>2</v>
      </c>
      <c r="C170" s="4">
        <v>420592.75</v>
      </c>
      <c r="D170" s="4">
        <v>270821.27</v>
      </c>
      <c r="E170" s="4">
        <f>SUM(E147:E169)</f>
        <v>372187.79999999993</v>
      </c>
      <c r="F170" s="4">
        <f>SUM(F147:F169)</f>
        <v>496250.39999999997</v>
      </c>
      <c r="G170" s="6">
        <f>SUM(G147:G169)</f>
        <v>615788.75000000012</v>
      </c>
      <c r="H170" s="304">
        <f>SUM(H147:H169)</f>
        <v>670071.35638892115</v>
      </c>
    </row>
    <row r="171" spans="1:8" x14ac:dyDescent="0.25">
      <c r="A171" s="1" t="s">
        <v>2</v>
      </c>
      <c r="B171" s="1" t="s">
        <v>2</v>
      </c>
      <c r="C171" s="1" t="s">
        <v>2</v>
      </c>
      <c r="D171" s="1" t="s">
        <v>2</v>
      </c>
      <c r="E171" s="1"/>
      <c r="F171" s="1"/>
      <c r="G171" s="1" t="s">
        <v>2</v>
      </c>
      <c r="H171" s="305" t="s">
        <v>2</v>
      </c>
    </row>
    <row r="172" spans="1:8" ht="15" customHeight="1" x14ac:dyDescent="0.25">
      <c r="A172" s="1" t="s">
        <v>922</v>
      </c>
      <c r="B172" s="1" t="s">
        <v>2</v>
      </c>
      <c r="H172" s="92"/>
    </row>
    <row r="173" spans="1:8" ht="15" customHeight="1" x14ac:dyDescent="0.25">
      <c r="A173" s="2" t="s">
        <v>923</v>
      </c>
      <c r="B173" s="2" t="s">
        <v>924</v>
      </c>
      <c r="C173" s="3">
        <v>3607.13</v>
      </c>
      <c r="D173" s="3">
        <v>1121.42</v>
      </c>
      <c r="E173" s="3">
        <v>7163.91</v>
      </c>
      <c r="F173" s="3">
        <f t="shared" ref="F173:F199" si="7">E173/9*12</f>
        <v>9551.880000000001</v>
      </c>
      <c r="G173" s="3">
        <v>4822.95</v>
      </c>
      <c r="H173" s="302">
        <v>3245.41</v>
      </c>
    </row>
    <row r="174" spans="1:8" ht="15" customHeight="1" x14ac:dyDescent="0.25">
      <c r="A174" s="2" t="s">
        <v>925</v>
      </c>
      <c r="B174" s="2" t="s">
        <v>108</v>
      </c>
      <c r="C174" s="3">
        <v>172111.49</v>
      </c>
      <c r="D174" s="3">
        <v>65909.69</v>
      </c>
      <c r="E174" s="3">
        <v>138889.60000000001</v>
      </c>
      <c r="F174" s="3">
        <f t="shared" si="7"/>
        <v>185186.13333333336</v>
      </c>
      <c r="G174" s="3">
        <v>159872.13</v>
      </c>
      <c r="H174" s="302">
        <v>180952.04</v>
      </c>
    </row>
    <row r="175" spans="1:8" ht="15" customHeight="1" x14ac:dyDescent="0.25">
      <c r="A175" s="2" t="s">
        <v>926</v>
      </c>
      <c r="B175" s="2" t="s">
        <v>786</v>
      </c>
      <c r="C175" s="3">
        <v>726.88</v>
      </c>
      <c r="D175" s="3">
        <v>583.86</v>
      </c>
      <c r="E175" s="3">
        <v>1653.46</v>
      </c>
      <c r="F175" s="3">
        <f t="shared" si="7"/>
        <v>2204.6133333333332</v>
      </c>
      <c r="G175" s="3">
        <v>0</v>
      </c>
      <c r="H175" s="302">
        <v>1099</v>
      </c>
    </row>
    <row r="176" spans="1:8" ht="15" customHeight="1" x14ac:dyDescent="0.25">
      <c r="A176" s="2" t="s">
        <v>927</v>
      </c>
      <c r="B176" s="2" t="s">
        <v>29</v>
      </c>
      <c r="C176" s="3">
        <v>41608.400000000001</v>
      </c>
      <c r="D176" s="3">
        <v>15739.1</v>
      </c>
      <c r="E176" s="3">
        <v>35131.26</v>
      </c>
      <c r="F176" s="3">
        <f t="shared" si="7"/>
        <v>46841.68</v>
      </c>
      <c r="G176" s="3">
        <v>40783.11</v>
      </c>
      <c r="H176" s="302">
        <f>48531.57+300.8</f>
        <v>48832.37</v>
      </c>
    </row>
    <row r="177" spans="1:9" ht="15" customHeight="1" x14ac:dyDescent="0.25">
      <c r="A177" s="2" t="s">
        <v>928</v>
      </c>
      <c r="B177" s="2" t="s">
        <v>128</v>
      </c>
      <c r="C177" s="3">
        <v>4223.33</v>
      </c>
      <c r="D177" s="3">
        <v>1138.8</v>
      </c>
      <c r="E177" s="3">
        <v>2860.15</v>
      </c>
      <c r="F177" s="3">
        <f t="shared" si="7"/>
        <v>3813.5333333333338</v>
      </c>
      <c r="G177" s="3">
        <v>4300.2700000000004</v>
      </c>
      <c r="H177" s="302">
        <v>3385.19</v>
      </c>
    </row>
    <row r="178" spans="1:9" ht="15" customHeight="1" x14ac:dyDescent="0.25">
      <c r="A178" s="2" t="s">
        <v>929</v>
      </c>
      <c r="B178" s="2" t="s">
        <v>33</v>
      </c>
      <c r="C178" s="3">
        <v>23441.599999999999</v>
      </c>
      <c r="D178" s="3">
        <v>7652.94</v>
      </c>
      <c r="E178" s="3">
        <v>16338.6</v>
      </c>
      <c r="F178" s="3">
        <f t="shared" si="7"/>
        <v>21784.800000000003</v>
      </c>
      <c r="G178" s="3">
        <v>19159.009999999998</v>
      </c>
      <c r="H178" s="302">
        <v>18820.849999999999</v>
      </c>
    </row>
    <row r="179" spans="1:9" ht="15" customHeight="1" x14ac:dyDescent="0.25">
      <c r="A179" s="2" t="s">
        <v>930</v>
      </c>
      <c r="B179" s="2" t="s">
        <v>11</v>
      </c>
      <c r="C179" s="3">
        <v>13290.8</v>
      </c>
      <c r="D179" s="3">
        <v>5067.71</v>
      </c>
      <c r="E179" s="3">
        <v>11038.81</v>
      </c>
      <c r="F179" s="3">
        <f t="shared" si="7"/>
        <v>14718.413333333334</v>
      </c>
      <c r="G179" s="3">
        <v>12599.17</v>
      </c>
      <c r="H179" s="302">
        <v>13842.83</v>
      </c>
    </row>
    <row r="180" spans="1:9" ht="15" customHeight="1" x14ac:dyDescent="0.25">
      <c r="A180" s="2" t="s">
        <v>931</v>
      </c>
      <c r="B180" s="2" t="s">
        <v>85</v>
      </c>
      <c r="C180" s="3">
        <v>2150.1799999999998</v>
      </c>
      <c r="D180" s="3">
        <v>2715.34</v>
      </c>
      <c r="E180" s="3">
        <v>2715.34</v>
      </c>
      <c r="F180" s="3">
        <f t="shared" si="7"/>
        <v>3620.4533333333334</v>
      </c>
      <c r="G180" s="3">
        <v>2142</v>
      </c>
      <c r="H180" s="302">
        <v>2295</v>
      </c>
    </row>
    <row r="181" spans="1:9" ht="15" customHeight="1" x14ac:dyDescent="0.25">
      <c r="A181" s="2" t="s">
        <v>932</v>
      </c>
      <c r="B181" s="2" t="s">
        <v>577</v>
      </c>
      <c r="C181" s="3">
        <v>14.45</v>
      </c>
      <c r="D181" s="3">
        <v>10.91</v>
      </c>
      <c r="E181" s="3">
        <v>29.17</v>
      </c>
      <c r="F181" s="3">
        <f t="shared" si="7"/>
        <v>38.893333333333338</v>
      </c>
      <c r="G181" s="3">
        <v>0</v>
      </c>
      <c r="H181" s="302">
        <v>15.25</v>
      </c>
    </row>
    <row r="182" spans="1:9" ht="15" customHeight="1" x14ac:dyDescent="0.25">
      <c r="A182" s="2" t="s">
        <v>933</v>
      </c>
      <c r="B182" s="2" t="s">
        <v>579</v>
      </c>
      <c r="C182" s="3">
        <v>95.27</v>
      </c>
      <c r="D182" s="3">
        <v>69.03</v>
      </c>
      <c r="E182" s="3">
        <v>193.84</v>
      </c>
      <c r="F182" s="3">
        <f t="shared" si="7"/>
        <v>258.45333333333332</v>
      </c>
      <c r="G182" s="3">
        <v>0</v>
      </c>
      <c r="H182" s="302">
        <v>114.19</v>
      </c>
    </row>
    <row r="183" spans="1:9" ht="15" customHeight="1" x14ac:dyDescent="0.25">
      <c r="A183" s="2" t="s">
        <v>934</v>
      </c>
      <c r="B183" s="2" t="s">
        <v>581</v>
      </c>
      <c r="C183" s="3">
        <v>55.21</v>
      </c>
      <c r="D183" s="3">
        <v>44.12</v>
      </c>
      <c r="E183" s="3">
        <v>124.84</v>
      </c>
      <c r="F183" s="3">
        <f t="shared" si="7"/>
        <v>166.45333333333335</v>
      </c>
      <c r="G183" s="3">
        <v>0</v>
      </c>
      <c r="H183" s="302">
        <v>84.07</v>
      </c>
    </row>
    <row r="184" spans="1:9" ht="15" customHeight="1" x14ac:dyDescent="0.25">
      <c r="A184" s="2" t="s">
        <v>935</v>
      </c>
      <c r="B184" s="2" t="s">
        <v>13</v>
      </c>
      <c r="C184" s="3">
        <v>258.81</v>
      </c>
      <c r="D184" s="3">
        <v>146.59</v>
      </c>
      <c r="E184" s="3">
        <v>312.23</v>
      </c>
      <c r="F184" s="3">
        <f t="shared" si="7"/>
        <v>416.30666666666673</v>
      </c>
      <c r="G184" s="3">
        <v>242.1</v>
      </c>
      <c r="H184" s="302">
        <f>397.38+2.4</f>
        <v>399.78</v>
      </c>
    </row>
    <row r="185" spans="1:9" ht="15" customHeight="1" x14ac:dyDescent="0.25">
      <c r="A185" s="2" t="s">
        <v>936</v>
      </c>
      <c r="B185" s="2" t="s">
        <v>458</v>
      </c>
      <c r="C185" s="3">
        <v>602.62</v>
      </c>
      <c r="D185" s="3">
        <v>147.47999999999999</v>
      </c>
      <c r="E185" s="3">
        <v>162.16</v>
      </c>
      <c r="F185" s="3">
        <f t="shared" si="7"/>
        <v>216.21333333333331</v>
      </c>
      <c r="G185" s="3">
        <v>595.20000000000005</v>
      </c>
      <c r="H185" s="302">
        <v>643.54999999999995</v>
      </c>
    </row>
    <row r="186" spans="1:9" ht="15" customHeight="1" x14ac:dyDescent="0.25">
      <c r="A186" s="2" t="s">
        <v>937</v>
      </c>
      <c r="B186" s="2" t="s">
        <v>585</v>
      </c>
      <c r="C186" s="3">
        <v>0</v>
      </c>
      <c r="D186" s="3">
        <v>0</v>
      </c>
      <c r="E186" s="3">
        <v>13.5</v>
      </c>
      <c r="F186" s="3">
        <f t="shared" si="7"/>
        <v>18</v>
      </c>
      <c r="G186" s="3">
        <v>0</v>
      </c>
      <c r="H186" s="302">
        <v>415</v>
      </c>
    </row>
    <row r="187" spans="1:9" ht="15" customHeight="1" x14ac:dyDescent="0.25">
      <c r="A187" s="2" t="s">
        <v>938</v>
      </c>
      <c r="B187" s="2" t="s">
        <v>39</v>
      </c>
      <c r="C187" s="3">
        <v>19736.37</v>
      </c>
      <c r="D187" s="3">
        <v>5710.77</v>
      </c>
      <c r="E187" s="3">
        <v>21361.59</v>
      </c>
      <c r="F187" s="3">
        <f t="shared" si="7"/>
        <v>28482.120000000003</v>
      </c>
      <c r="G187" s="3">
        <v>50000</v>
      </c>
      <c r="H187" s="302">
        <v>60000</v>
      </c>
      <c r="I187" s="250" t="s">
        <v>3429</v>
      </c>
    </row>
    <row r="188" spans="1:9" ht="15" customHeight="1" x14ac:dyDescent="0.25">
      <c r="A188" s="2" t="s">
        <v>939</v>
      </c>
      <c r="B188" s="2" t="s">
        <v>940</v>
      </c>
      <c r="C188" s="3">
        <v>0</v>
      </c>
      <c r="D188" s="3">
        <v>2200</v>
      </c>
      <c r="E188" s="3">
        <v>2327.73</v>
      </c>
      <c r="F188" s="3">
        <f t="shared" si="7"/>
        <v>3103.64</v>
      </c>
      <c r="G188" s="3">
        <v>250</v>
      </c>
      <c r="H188" s="302">
        <v>250</v>
      </c>
    </row>
    <row r="189" spans="1:9" ht="15" customHeight="1" x14ac:dyDescent="0.25">
      <c r="A189" s="2" t="s">
        <v>941</v>
      </c>
      <c r="B189" s="2" t="s">
        <v>942</v>
      </c>
      <c r="C189" s="3">
        <v>5146.8500000000004</v>
      </c>
      <c r="D189" s="3">
        <v>412.5</v>
      </c>
      <c r="E189" s="3">
        <v>412.5</v>
      </c>
      <c r="F189" s="3">
        <f t="shared" si="7"/>
        <v>550</v>
      </c>
      <c r="G189" s="3">
        <v>0</v>
      </c>
      <c r="H189" s="302">
        <v>0</v>
      </c>
    </row>
    <row r="190" spans="1:9" ht="15" customHeight="1" x14ac:dyDescent="0.25">
      <c r="A190" s="2" t="s">
        <v>943</v>
      </c>
      <c r="B190" s="2" t="s">
        <v>944</v>
      </c>
      <c r="C190" s="3">
        <v>1056.49</v>
      </c>
      <c r="D190" s="3">
        <v>320.27</v>
      </c>
      <c r="E190" s="3">
        <v>431.96</v>
      </c>
      <c r="F190" s="3">
        <f t="shared" si="7"/>
        <v>575.94666666666672</v>
      </c>
      <c r="G190" s="3">
        <v>1250</v>
      </c>
      <c r="H190" s="302">
        <f>Phone!$C$16</f>
        <v>1250</v>
      </c>
    </row>
    <row r="191" spans="1:9" ht="15" customHeight="1" x14ac:dyDescent="0.25">
      <c r="A191" s="2" t="s">
        <v>945</v>
      </c>
      <c r="B191" s="2" t="s">
        <v>17</v>
      </c>
      <c r="C191" s="3">
        <v>0</v>
      </c>
      <c r="D191" s="3">
        <v>0</v>
      </c>
      <c r="E191" s="3">
        <v>0</v>
      </c>
      <c r="F191" s="3">
        <f t="shared" si="7"/>
        <v>0</v>
      </c>
      <c r="G191" s="3">
        <v>0</v>
      </c>
      <c r="H191" s="302">
        <v>0</v>
      </c>
    </row>
    <row r="192" spans="1:9" ht="15" customHeight="1" x14ac:dyDescent="0.25">
      <c r="A192" s="2" t="s">
        <v>946</v>
      </c>
      <c r="B192" s="2" t="s">
        <v>947</v>
      </c>
      <c r="C192" s="3">
        <v>400.68</v>
      </c>
      <c r="D192" s="3">
        <v>0</v>
      </c>
      <c r="E192" s="3">
        <v>0</v>
      </c>
      <c r="F192" s="3">
        <f t="shared" si="7"/>
        <v>0</v>
      </c>
      <c r="G192" s="3">
        <v>0</v>
      </c>
      <c r="H192" s="302">
        <v>0</v>
      </c>
    </row>
    <row r="193" spans="1:8" ht="15" customHeight="1" x14ac:dyDescent="0.25">
      <c r="A193" s="2" t="s">
        <v>948</v>
      </c>
      <c r="B193" s="2" t="s">
        <v>949</v>
      </c>
      <c r="C193" s="3">
        <v>0</v>
      </c>
      <c r="D193" s="3">
        <v>0</v>
      </c>
      <c r="E193" s="3">
        <v>0</v>
      </c>
      <c r="F193" s="3">
        <f t="shared" si="7"/>
        <v>0</v>
      </c>
      <c r="G193" s="3">
        <v>40000</v>
      </c>
      <c r="H193" s="302">
        <v>40000</v>
      </c>
    </row>
    <row r="194" spans="1:8" ht="15" customHeight="1" x14ac:dyDescent="0.25">
      <c r="A194" s="2" t="s">
        <v>950</v>
      </c>
      <c r="B194" s="2" t="s">
        <v>951</v>
      </c>
      <c r="C194" s="3">
        <v>7818.6</v>
      </c>
      <c r="D194" s="3">
        <v>5805.79</v>
      </c>
      <c r="E194" s="3">
        <v>7685.87</v>
      </c>
      <c r="F194" s="3">
        <f t="shared" si="7"/>
        <v>10247.826666666666</v>
      </c>
      <c r="G194" s="3">
        <v>10000</v>
      </c>
      <c r="H194" s="302">
        <v>10000</v>
      </c>
    </row>
    <row r="195" spans="1:8" ht="15" customHeight="1" x14ac:dyDescent="0.25">
      <c r="A195" s="2" t="s">
        <v>952</v>
      </c>
      <c r="B195" s="2" t="s">
        <v>953</v>
      </c>
      <c r="C195" s="3">
        <v>5614.35</v>
      </c>
      <c r="D195" s="3">
        <v>0</v>
      </c>
      <c r="E195" s="3">
        <v>0</v>
      </c>
      <c r="F195" s="3">
        <f t="shared" si="7"/>
        <v>0</v>
      </c>
      <c r="G195" s="3">
        <v>5000</v>
      </c>
      <c r="H195" s="302">
        <v>5000</v>
      </c>
    </row>
    <row r="196" spans="1:8" ht="15" customHeight="1" x14ac:dyDescent="0.25">
      <c r="A196" s="2" t="s">
        <v>954</v>
      </c>
      <c r="B196" s="2" t="s">
        <v>64</v>
      </c>
      <c r="C196" s="3">
        <v>3234.69</v>
      </c>
      <c r="D196" s="3">
        <v>642.41</v>
      </c>
      <c r="E196" s="3">
        <v>2361.9899999999998</v>
      </c>
      <c r="F196" s="3">
        <f t="shared" si="7"/>
        <v>3149.3199999999997</v>
      </c>
      <c r="G196" s="3">
        <v>5000</v>
      </c>
      <c r="H196" s="302">
        <v>5000</v>
      </c>
    </row>
    <row r="197" spans="1:8" ht="15" customHeight="1" x14ac:dyDescent="0.25">
      <c r="A197" s="2" t="s">
        <v>955</v>
      </c>
      <c r="B197" s="2" t="s">
        <v>956</v>
      </c>
      <c r="C197" s="3">
        <v>2036.68</v>
      </c>
      <c r="D197" s="3">
        <v>0</v>
      </c>
      <c r="E197" s="3">
        <v>0</v>
      </c>
      <c r="F197" s="3">
        <f t="shared" si="7"/>
        <v>0</v>
      </c>
      <c r="G197" s="3">
        <v>300</v>
      </c>
      <c r="H197" s="302">
        <v>300</v>
      </c>
    </row>
    <row r="198" spans="1:8" ht="15" customHeight="1" x14ac:dyDescent="0.25">
      <c r="A198" s="2" t="s">
        <v>957</v>
      </c>
      <c r="B198" s="2" t="s">
        <v>624</v>
      </c>
      <c r="C198" s="3">
        <v>3611.42</v>
      </c>
      <c r="D198" s="3">
        <v>706.84</v>
      </c>
      <c r="E198" s="3">
        <v>1184.33</v>
      </c>
      <c r="F198" s="3">
        <f t="shared" si="7"/>
        <v>1579.1066666666666</v>
      </c>
      <c r="G198" s="3">
        <v>4000</v>
      </c>
      <c r="H198" s="302">
        <v>4000</v>
      </c>
    </row>
    <row r="199" spans="1:8" ht="15" customHeight="1" x14ac:dyDescent="0.25">
      <c r="A199" s="2" t="s">
        <v>958</v>
      </c>
      <c r="B199" s="2" t="s">
        <v>626</v>
      </c>
      <c r="C199" s="3">
        <v>152.5</v>
      </c>
      <c r="D199" s="3">
        <v>0</v>
      </c>
      <c r="E199" s="3">
        <v>0</v>
      </c>
      <c r="F199" s="3">
        <f t="shared" si="7"/>
        <v>0</v>
      </c>
      <c r="G199" s="3">
        <v>0</v>
      </c>
      <c r="H199" s="302">
        <v>0</v>
      </c>
    </row>
    <row r="200" spans="1:8" ht="15" customHeight="1" x14ac:dyDescent="0.25">
      <c r="A200" s="1" t="s">
        <v>959</v>
      </c>
      <c r="B200" s="1" t="s">
        <v>2</v>
      </c>
      <c r="C200" s="4">
        <v>310994.8</v>
      </c>
      <c r="D200" s="4">
        <v>116145.57</v>
      </c>
      <c r="E200" s="4">
        <f>SUM(E173:E199)</f>
        <v>252392.84</v>
      </c>
      <c r="F200" s="4">
        <f>SUM(F173:F199)</f>
        <v>336523.78666666656</v>
      </c>
      <c r="G200" s="6">
        <f>SUM(G173:G199)</f>
        <v>360315.94000000006</v>
      </c>
      <c r="H200" s="304">
        <f>SUM(H173:H199)</f>
        <v>399944.53</v>
      </c>
    </row>
    <row r="201" spans="1:8" x14ac:dyDescent="0.25">
      <c r="A201" s="1" t="s">
        <v>2</v>
      </c>
      <c r="B201" s="1" t="s">
        <v>2</v>
      </c>
      <c r="C201" s="1" t="s">
        <v>2</v>
      </c>
      <c r="D201" s="1" t="s">
        <v>2</v>
      </c>
      <c r="E201" s="1"/>
      <c r="F201" s="1"/>
      <c r="G201" s="1" t="s">
        <v>2</v>
      </c>
      <c r="H201" s="305" t="s">
        <v>2</v>
      </c>
    </row>
    <row r="202" spans="1:8" ht="15" customHeight="1" x14ac:dyDescent="0.25">
      <c r="A202" s="1" t="s">
        <v>960</v>
      </c>
      <c r="B202" s="1" t="s">
        <v>2</v>
      </c>
      <c r="H202" s="92"/>
    </row>
    <row r="203" spans="1:8" ht="15" customHeight="1" x14ac:dyDescent="0.25">
      <c r="A203" s="2" t="s">
        <v>961</v>
      </c>
      <c r="B203" s="2" t="s">
        <v>962</v>
      </c>
      <c r="C203" s="3">
        <v>176304.03</v>
      </c>
      <c r="D203" s="3">
        <v>55655.92</v>
      </c>
      <c r="E203" s="3">
        <v>108073.88</v>
      </c>
      <c r="F203" s="3">
        <f>E203/9*12</f>
        <v>144098.50666666668</v>
      </c>
      <c r="G203" s="3">
        <v>150000</v>
      </c>
      <c r="H203" s="302">
        <v>150000</v>
      </c>
    </row>
    <row r="204" spans="1:8" ht="15" customHeight="1" x14ac:dyDescent="0.25">
      <c r="A204" s="1" t="s">
        <v>963</v>
      </c>
      <c r="B204" s="1" t="s">
        <v>2</v>
      </c>
      <c r="C204" s="4">
        <v>176304.03</v>
      </c>
      <c r="D204" s="4">
        <v>55655.92</v>
      </c>
      <c r="E204" s="4">
        <f>E203</f>
        <v>108073.88</v>
      </c>
      <c r="F204" s="4">
        <f>F203</f>
        <v>144098.50666666668</v>
      </c>
      <c r="G204" s="6">
        <f>SUM(G203)</f>
        <v>150000</v>
      </c>
      <c r="H204" s="304">
        <f>SUM(H203)</f>
        <v>150000</v>
      </c>
    </row>
    <row r="205" spans="1:8" x14ac:dyDescent="0.25">
      <c r="A205" s="1" t="s">
        <v>2</v>
      </c>
      <c r="B205" s="1" t="s">
        <v>2</v>
      </c>
      <c r="C205" s="1" t="s">
        <v>2</v>
      </c>
      <c r="D205" s="1" t="s">
        <v>2</v>
      </c>
      <c r="E205" s="1"/>
      <c r="F205" s="1"/>
      <c r="G205" s="1" t="s">
        <v>2</v>
      </c>
      <c r="H205" s="305" t="s">
        <v>2</v>
      </c>
    </row>
    <row r="206" spans="1:8" ht="15" customHeight="1" x14ac:dyDescent="0.25">
      <c r="A206" s="1" t="s">
        <v>964</v>
      </c>
      <c r="B206" s="1" t="s">
        <v>2</v>
      </c>
      <c r="H206" s="92"/>
    </row>
    <row r="207" spans="1:8" ht="15" customHeight="1" x14ac:dyDescent="0.25">
      <c r="A207" s="2" t="s">
        <v>965</v>
      </c>
      <c r="B207" s="2" t="s">
        <v>108</v>
      </c>
      <c r="C207" s="3">
        <v>43544.84</v>
      </c>
      <c r="D207" s="3">
        <v>13311.18</v>
      </c>
      <c r="E207" s="3">
        <v>49249.88</v>
      </c>
      <c r="F207" s="3">
        <f t="shared" ref="F207:F218" si="8">E207/9*12</f>
        <v>65666.506666666653</v>
      </c>
      <c r="G207" s="3">
        <v>39583.06</v>
      </c>
      <c r="H207" s="302">
        <v>44532.23</v>
      </c>
    </row>
    <row r="208" spans="1:8" ht="15" customHeight="1" x14ac:dyDescent="0.25">
      <c r="A208" s="2" t="s">
        <v>966</v>
      </c>
      <c r="B208" s="2" t="s">
        <v>569</v>
      </c>
      <c r="C208" s="3">
        <v>1870.17</v>
      </c>
      <c r="D208" s="3">
        <v>328.44</v>
      </c>
      <c r="E208" s="3">
        <v>571.08000000000004</v>
      </c>
      <c r="F208" s="3">
        <f t="shared" si="8"/>
        <v>761.44</v>
      </c>
      <c r="G208" s="3">
        <v>1486.71</v>
      </c>
      <c r="H208" s="302">
        <v>1653.85</v>
      </c>
    </row>
    <row r="209" spans="1:8" ht="15" customHeight="1" x14ac:dyDescent="0.25">
      <c r="A209" s="2" t="s">
        <v>967</v>
      </c>
      <c r="B209" s="2" t="s">
        <v>29</v>
      </c>
      <c r="C209" s="3">
        <v>12333.87</v>
      </c>
      <c r="D209" s="3">
        <v>3798.93</v>
      </c>
      <c r="E209" s="3">
        <v>14035.5</v>
      </c>
      <c r="F209" s="3">
        <f t="shared" si="8"/>
        <v>18714</v>
      </c>
      <c r="G209" s="3">
        <v>12133.03</v>
      </c>
      <c r="H209" s="302">
        <f>13139.9+320.48</f>
        <v>13460.38</v>
      </c>
    </row>
    <row r="210" spans="1:8" ht="15" customHeight="1" x14ac:dyDescent="0.25">
      <c r="A210" s="2" t="s">
        <v>968</v>
      </c>
      <c r="B210" s="2" t="s">
        <v>128</v>
      </c>
      <c r="C210" s="3">
        <v>1084.33</v>
      </c>
      <c r="D210" s="3">
        <v>256.64999999999998</v>
      </c>
      <c r="E210" s="3">
        <v>889.2</v>
      </c>
      <c r="F210" s="3">
        <f t="shared" si="8"/>
        <v>1185.6000000000001</v>
      </c>
      <c r="G210" s="3">
        <v>1065.2</v>
      </c>
      <c r="H210" s="302">
        <f>853.92+30.5</f>
        <v>884.42</v>
      </c>
    </row>
    <row r="211" spans="1:8" ht="15" customHeight="1" x14ac:dyDescent="0.25">
      <c r="A211" s="2" t="s">
        <v>969</v>
      </c>
      <c r="B211" s="2" t="s">
        <v>33</v>
      </c>
      <c r="C211" s="3">
        <v>5817.7</v>
      </c>
      <c r="D211" s="3">
        <v>1514.35</v>
      </c>
      <c r="E211" s="3">
        <v>5748.28</v>
      </c>
      <c r="F211" s="3">
        <f t="shared" si="8"/>
        <v>7664.373333333333</v>
      </c>
      <c r="G211" s="3">
        <v>4720.24</v>
      </c>
      <c r="H211" s="302">
        <f>4637.39+171.84</f>
        <v>4809.2300000000005</v>
      </c>
    </row>
    <row r="212" spans="1:8" ht="15" customHeight="1" x14ac:dyDescent="0.25">
      <c r="A212" s="2" t="s">
        <v>970</v>
      </c>
      <c r="B212" s="2" t="s">
        <v>11</v>
      </c>
      <c r="C212" s="3">
        <v>3420.49</v>
      </c>
      <c r="D212" s="3">
        <v>1026.74</v>
      </c>
      <c r="E212" s="3">
        <v>3752.66</v>
      </c>
      <c r="F212" s="3">
        <f t="shared" si="8"/>
        <v>5003.5466666666662</v>
      </c>
      <c r="G212" s="3">
        <v>3141.84</v>
      </c>
      <c r="H212" s="302">
        <f>3406.72+126.52</f>
        <v>3533.24</v>
      </c>
    </row>
    <row r="213" spans="1:8" ht="15" customHeight="1" x14ac:dyDescent="0.25">
      <c r="A213" s="2" t="s">
        <v>971</v>
      </c>
      <c r="B213" s="2" t="s">
        <v>13</v>
      </c>
      <c r="C213" s="3">
        <v>66.540000000000006</v>
      </c>
      <c r="D213" s="3">
        <v>28.39</v>
      </c>
      <c r="E213" s="3">
        <v>106.37</v>
      </c>
      <c r="F213" s="3">
        <f t="shared" si="8"/>
        <v>141.82666666666665</v>
      </c>
      <c r="G213" s="3">
        <v>60.37</v>
      </c>
      <c r="H213" s="302">
        <f>97.8+3.6</f>
        <v>101.39999999999999</v>
      </c>
    </row>
    <row r="214" spans="1:8" ht="15" customHeight="1" x14ac:dyDescent="0.25">
      <c r="A214" s="2" t="s">
        <v>972</v>
      </c>
      <c r="B214" s="2" t="s">
        <v>973</v>
      </c>
      <c r="C214" s="3">
        <v>168.27</v>
      </c>
      <c r="D214" s="3">
        <v>36.43</v>
      </c>
      <c r="E214" s="3">
        <v>46.25</v>
      </c>
      <c r="F214" s="3">
        <f t="shared" si="8"/>
        <v>61.666666666666671</v>
      </c>
      <c r="G214" s="3">
        <v>147.37</v>
      </c>
      <c r="H214" s="302">
        <v>158.38</v>
      </c>
    </row>
    <row r="215" spans="1:8" ht="15" customHeight="1" x14ac:dyDescent="0.25">
      <c r="A215" s="2" t="s">
        <v>974</v>
      </c>
      <c r="B215" s="2" t="s">
        <v>585</v>
      </c>
      <c r="C215" s="3">
        <v>0</v>
      </c>
      <c r="D215" s="3">
        <v>0</v>
      </c>
      <c r="E215" s="3">
        <v>1.67</v>
      </c>
      <c r="F215" s="3">
        <f t="shared" si="8"/>
        <v>2.2266666666666666</v>
      </c>
      <c r="G215" s="3">
        <v>0</v>
      </c>
      <c r="H215" s="302">
        <v>0</v>
      </c>
    </row>
    <row r="216" spans="1:8" ht="15" customHeight="1" x14ac:dyDescent="0.25">
      <c r="A216" s="2" t="s">
        <v>975</v>
      </c>
      <c r="B216" s="2" t="s">
        <v>39</v>
      </c>
      <c r="C216" s="3">
        <v>17833.98</v>
      </c>
      <c r="D216" s="3">
        <v>10557.95</v>
      </c>
      <c r="E216" s="3">
        <v>34953.879999999997</v>
      </c>
      <c r="F216" s="3">
        <f t="shared" si="8"/>
        <v>46605.173333333325</v>
      </c>
      <c r="G216" s="3">
        <v>40000</v>
      </c>
      <c r="H216" s="302">
        <v>40000</v>
      </c>
    </row>
    <row r="217" spans="1:8" ht="15" customHeight="1" x14ac:dyDescent="0.25">
      <c r="A217" s="2" t="s">
        <v>976</v>
      </c>
      <c r="B217" s="2" t="s">
        <v>940</v>
      </c>
      <c r="C217" s="3">
        <v>0</v>
      </c>
      <c r="D217" s="3">
        <v>0</v>
      </c>
      <c r="E217" s="3">
        <v>0</v>
      </c>
      <c r="F217" s="3">
        <f t="shared" si="8"/>
        <v>0</v>
      </c>
      <c r="G217" s="3">
        <v>0</v>
      </c>
      <c r="H217" s="302">
        <v>0</v>
      </c>
    </row>
    <row r="218" spans="1:8" ht="15" customHeight="1" x14ac:dyDescent="0.25">
      <c r="A218" s="2" t="s">
        <v>977</v>
      </c>
      <c r="B218" s="2" t="s">
        <v>947</v>
      </c>
      <c r="C218" s="3">
        <v>3492.49</v>
      </c>
      <c r="D218" s="3">
        <v>613.46</v>
      </c>
      <c r="E218" s="3">
        <v>613.46</v>
      </c>
      <c r="F218" s="3">
        <f t="shared" si="8"/>
        <v>817.94666666666672</v>
      </c>
      <c r="G218" s="3">
        <v>10000</v>
      </c>
      <c r="H218" s="302">
        <v>10000</v>
      </c>
    </row>
    <row r="219" spans="1:8" ht="15" customHeight="1" x14ac:dyDescent="0.25">
      <c r="A219" s="1" t="s">
        <v>978</v>
      </c>
      <c r="B219" s="1" t="s">
        <v>2</v>
      </c>
      <c r="C219" s="4">
        <v>89632.68</v>
      </c>
      <c r="D219" s="4">
        <v>31472.52</v>
      </c>
      <c r="E219" s="4">
        <f>SUM(E207:E218)</f>
        <v>109968.23</v>
      </c>
      <c r="F219" s="4">
        <f>SUM(F207:F218)</f>
        <v>146624.30666666664</v>
      </c>
      <c r="G219" s="6">
        <f>SUM(G207:G218)</f>
        <v>112337.81999999999</v>
      </c>
      <c r="H219" s="304">
        <f>SUM(H207:H218)</f>
        <v>119133.13</v>
      </c>
    </row>
    <row r="220" spans="1:8" x14ac:dyDescent="0.25">
      <c r="A220" s="1" t="s">
        <v>2</v>
      </c>
      <c r="B220" s="1" t="s">
        <v>2</v>
      </c>
      <c r="C220" s="1" t="s">
        <v>2</v>
      </c>
      <c r="D220" s="1" t="s">
        <v>2</v>
      </c>
      <c r="E220" s="1"/>
      <c r="F220" s="1"/>
      <c r="G220" s="1" t="s">
        <v>2</v>
      </c>
      <c r="H220" s="305" t="s">
        <v>2</v>
      </c>
    </row>
    <row r="221" spans="1:8" ht="15" customHeight="1" x14ac:dyDescent="0.25">
      <c r="A221" s="1" t="s">
        <v>979</v>
      </c>
      <c r="B221" s="1" t="s">
        <v>2</v>
      </c>
      <c r="H221" s="92"/>
    </row>
    <row r="222" spans="1:8" ht="15" customHeight="1" x14ac:dyDescent="0.25">
      <c r="A222" s="2" t="s">
        <v>980</v>
      </c>
      <c r="B222" s="2" t="s">
        <v>108</v>
      </c>
      <c r="C222" s="3">
        <v>5887.06</v>
      </c>
      <c r="D222" s="3">
        <v>26429.25</v>
      </c>
      <c r="E222" s="3">
        <v>26429.25</v>
      </c>
      <c r="F222" s="3">
        <f t="shared" ref="F222:F235" si="9">E222/9*12</f>
        <v>35239</v>
      </c>
      <c r="G222" s="3">
        <v>17433.32</v>
      </c>
      <c r="H222" s="302">
        <v>5696.96</v>
      </c>
    </row>
    <row r="223" spans="1:8" ht="15" customHeight="1" x14ac:dyDescent="0.25">
      <c r="A223" s="2" t="s">
        <v>981</v>
      </c>
      <c r="B223" s="2" t="s">
        <v>786</v>
      </c>
      <c r="C223" s="3">
        <v>9678.7900000000009</v>
      </c>
      <c r="D223" s="3">
        <v>13999.44</v>
      </c>
      <c r="E223" s="3">
        <v>13999.44</v>
      </c>
      <c r="F223" s="3">
        <f t="shared" si="9"/>
        <v>18665.919999999998</v>
      </c>
      <c r="G223" s="3">
        <v>4634.29</v>
      </c>
      <c r="H223" s="302">
        <v>10304.129999999999</v>
      </c>
    </row>
    <row r="224" spans="1:8" ht="15" customHeight="1" x14ac:dyDescent="0.25">
      <c r="A224" s="2" t="s">
        <v>982</v>
      </c>
      <c r="B224" s="2" t="s">
        <v>29</v>
      </c>
      <c r="C224" s="3">
        <v>3106.03</v>
      </c>
      <c r="D224" s="3">
        <v>9315.51</v>
      </c>
      <c r="E224" s="3">
        <v>9315.51</v>
      </c>
      <c r="F224" s="3">
        <f t="shared" si="9"/>
        <v>12420.68</v>
      </c>
      <c r="G224" s="3">
        <v>5821.48</v>
      </c>
      <c r="H224" s="302">
        <f>1454.03+2837.96</f>
        <v>4291.99</v>
      </c>
    </row>
    <row r="225" spans="1:8" ht="15" customHeight="1" x14ac:dyDescent="0.25">
      <c r="A225" s="2" t="s">
        <v>983</v>
      </c>
      <c r="B225" s="2" t="s">
        <v>128</v>
      </c>
      <c r="C225" s="3">
        <v>111.98</v>
      </c>
      <c r="D225" s="3">
        <v>554.79</v>
      </c>
      <c r="E225" s="3">
        <v>554.79</v>
      </c>
      <c r="F225" s="3">
        <f t="shared" si="9"/>
        <v>739.72</v>
      </c>
      <c r="G225" s="3">
        <v>433.97</v>
      </c>
      <c r="H225" s="302">
        <v>106.74</v>
      </c>
    </row>
    <row r="226" spans="1:8" ht="15" customHeight="1" x14ac:dyDescent="0.25">
      <c r="A226" s="2" t="s">
        <v>984</v>
      </c>
      <c r="B226" s="2" t="s">
        <v>33</v>
      </c>
      <c r="C226" s="3">
        <v>812.26</v>
      </c>
      <c r="D226" s="3">
        <v>2997.62</v>
      </c>
      <c r="E226" s="3">
        <v>2997.62</v>
      </c>
      <c r="F226" s="3">
        <f t="shared" si="9"/>
        <v>3996.8266666666664</v>
      </c>
      <c r="G226" s="3">
        <v>2070.41</v>
      </c>
      <c r="H226" s="302">
        <v>591.91</v>
      </c>
    </row>
    <row r="227" spans="1:8" ht="15" customHeight="1" x14ac:dyDescent="0.25">
      <c r="A227" s="2" t="s">
        <v>985</v>
      </c>
      <c r="B227" s="2" t="s">
        <v>11</v>
      </c>
      <c r="C227" s="3">
        <v>444.2</v>
      </c>
      <c r="D227" s="3">
        <v>1995.38</v>
      </c>
      <c r="E227" s="3">
        <v>1995.38</v>
      </c>
      <c r="F227" s="3">
        <f t="shared" si="9"/>
        <v>2660.5066666666671</v>
      </c>
      <c r="G227" s="3">
        <v>1333.65</v>
      </c>
      <c r="H227" s="302">
        <v>435.82</v>
      </c>
    </row>
    <row r="228" spans="1:8" ht="15" customHeight="1" x14ac:dyDescent="0.25">
      <c r="A228" s="2" t="s">
        <v>986</v>
      </c>
      <c r="B228" s="2" t="s">
        <v>13</v>
      </c>
      <c r="C228" s="3">
        <v>23.8</v>
      </c>
      <c r="D228" s="3">
        <v>71.569999999999993</v>
      </c>
      <c r="E228" s="3">
        <v>71.569999999999993</v>
      </c>
      <c r="F228" s="3">
        <f t="shared" si="9"/>
        <v>95.426666666666662</v>
      </c>
      <c r="G228" s="3">
        <v>32.44</v>
      </c>
      <c r="H228" s="302">
        <f>12.63+22.61</f>
        <v>35.24</v>
      </c>
    </row>
    <row r="229" spans="1:8" ht="15" customHeight="1" x14ac:dyDescent="0.25">
      <c r="A229" s="2" t="s">
        <v>987</v>
      </c>
      <c r="B229" s="2" t="s">
        <v>577</v>
      </c>
      <c r="C229" s="3">
        <v>230.56</v>
      </c>
      <c r="D229" s="3">
        <v>248.2</v>
      </c>
      <c r="E229" s="3">
        <v>248.2</v>
      </c>
      <c r="F229" s="3">
        <f t="shared" si="9"/>
        <v>330.93333333333328</v>
      </c>
      <c r="G229" s="3">
        <v>118.36</v>
      </c>
      <c r="H229" s="302">
        <v>182.98</v>
      </c>
    </row>
    <row r="230" spans="1:8" ht="15" customHeight="1" x14ac:dyDescent="0.25">
      <c r="A230" s="2" t="s">
        <v>988</v>
      </c>
      <c r="B230" s="2" t="s">
        <v>579</v>
      </c>
      <c r="C230" s="3">
        <v>1375.03</v>
      </c>
      <c r="D230" s="3">
        <v>1593.32</v>
      </c>
      <c r="E230" s="3">
        <v>1593.32</v>
      </c>
      <c r="F230" s="3">
        <f t="shared" si="9"/>
        <v>2124.4266666666667</v>
      </c>
      <c r="G230" s="3">
        <v>555.73</v>
      </c>
      <c r="H230" s="302">
        <v>1071.6500000000001</v>
      </c>
    </row>
    <row r="231" spans="1:8" ht="15" customHeight="1" x14ac:dyDescent="0.25">
      <c r="A231" s="2" t="s">
        <v>989</v>
      </c>
      <c r="B231" s="2" t="s">
        <v>581</v>
      </c>
      <c r="C231" s="3">
        <v>733.12</v>
      </c>
      <c r="D231" s="3">
        <v>1061.72</v>
      </c>
      <c r="E231" s="3">
        <v>1061.72</v>
      </c>
      <c r="F231" s="3">
        <f t="shared" si="9"/>
        <v>1415.6266666666668</v>
      </c>
      <c r="G231" s="3">
        <v>354.52</v>
      </c>
      <c r="H231" s="302">
        <v>788.27</v>
      </c>
    </row>
    <row r="232" spans="1:8" ht="15" customHeight="1" x14ac:dyDescent="0.25">
      <c r="A232" s="2" t="s">
        <v>990</v>
      </c>
      <c r="B232" s="2" t="s">
        <v>973</v>
      </c>
      <c r="C232" s="3">
        <v>87.79</v>
      </c>
      <c r="D232" s="3">
        <v>16.09</v>
      </c>
      <c r="E232" s="3">
        <v>20.43</v>
      </c>
      <c r="F232" s="3">
        <f t="shared" si="9"/>
        <v>27.240000000000002</v>
      </c>
      <c r="G232" s="3">
        <v>64.900000000000006</v>
      </c>
      <c r="H232" s="302">
        <v>20.260000000000002</v>
      </c>
    </row>
    <row r="233" spans="1:8" ht="15" customHeight="1" x14ac:dyDescent="0.25">
      <c r="A233" s="2" t="s">
        <v>991</v>
      </c>
      <c r="B233" s="2" t="s">
        <v>585</v>
      </c>
      <c r="C233" s="3">
        <v>675</v>
      </c>
      <c r="D233" s="3">
        <v>720</v>
      </c>
      <c r="E233" s="3">
        <v>720</v>
      </c>
      <c r="F233" s="3">
        <f t="shared" si="9"/>
        <v>960</v>
      </c>
      <c r="G233" s="3">
        <v>215</v>
      </c>
      <c r="H233" s="302">
        <v>750</v>
      </c>
    </row>
    <row r="234" spans="1:8" ht="15" customHeight="1" x14ac:dyDescent="0.25">
      <c r="A234" s="2" t="s">
        <v>992</v>
      </c>
      <c r="B234" s="2" t="s">
        <v>39</v>
      </c>
      <c r="C234" s="3">
        <v>8730.52</v>
      </c>
      <c r="D234" s="3">
        <v>8969.19</v>
      </c>
      <c r="E234" s="3">
        <v>8969.19</v>
      </c>
      <c r="F234" s="3">
        <f t="shared" si="9"/>
        <v>11958.92</v>
      </c>
      <c r="G234" s="3">
        <v>10000</v>
      </c>
      <c r="H234" s="302">
        <v>10000</v>
      </c>
    </row>
    <row r="235" spans="1:8" ht="15" customHeight="1" x14ac:dyDescent="0.25">
      <c r="A235" s="2" t="s">
        <v>993</v>
      </c>
      <c r="B235" s="2" t="s">
        <v>64</v>
      </c>
      <c r="C235" s="3">
        <v>0</v>
      </c>
      <c r="D235" s="3">
        <v>0</v>
      </c>
      <c r="E235" s="3">
        <v>0</v>
      </c>
      <c r="F235" s="3">
        <f t="shared" si="9"/>
        <v>0</v>
      </c>
      <c r="G235" s="3">
        <v>0</v>
      </c>
      <c r="H235" s="302">
        <v>0</v>
      </c>
    </row>
    <row r="236" spans="1:8" ht="15" customHeight="1" x14ac:dyDescent="0.25">
      <c r="A236" s="1" t="s">
        <v>994</v>
      </c>
      <c r="B236" s="1" t="s">
        <v>2</v>
      </c>
      <c r="C236" s="4">
        <v>31896.14</v>
      </c>
      <c r="D236" s="4">
        <v>67972.08</v>
      </c>
      <c r="E236" s="4">
        <f>SUM(E222:E235)</f>
        <v>67976.42</v>
      </c>
      <c r="F236" s="4">
        <f>SUM(F222:F235)</f>
        <v>90635.226666666669</v>
      </c>
      <c r="G236" s="6">
        <f>SUM(G222:G235)</f>
        <v>43068.07</v>
      </c>
      <c r="H236" s="304">
        <f>SUM(H222:H235)</f>
        <v>34275.950000000004</v>
      </c>
    </row>
    <row r="237" spans="1:8" x14ac:dyDescent="0.25">
      <c r="A237" s="1" t="s">
        <v>2</v>
      </c>
      <c r="B237" s="1" t="s">
        <v>2</v>
      </c>
      <c r="C237" s="1" t="s">
        <v>2</v>
      </c>
      <c r="D237" s="1" t="s">
        <v>2</v>
      </c>
      <c r="E237" s="1"/>
      <c r="F237" s="1"/>
      <c r="G237" s="1" t="s">
        <v>2</v>
      </c>
      <c r="H237" s="305" t="s">
        <v>2</v>
      </c>
    </row>
    <row r="238" spans="1:8" ht="15" customHeight="1" x14ac:dyDescent="0.25">
      <c r="A238" s="1" t="s">
        <v>995</v>
      </c>
      <c r="B238" s="1" t="s">
        <v>2</v>
      </c>
      <c r="H238" s="92"/>
    </row>
    <row r="239" spans="1:8" ht="15" customHeight="1" x14ac:dyDescent="0.25">
      <c r="A239" s="2" t="s">
        <v>996</v>
      </c>
      <c r="B239" s="2" t="s">
        <v>108</v>
      </c>
      <c r="C239" s="3">
        <v>36561.97</v>
      </c>
      <c r="D239" s="3">
        <v>13456.42</v>
      </c>
      <c r="E239" s="3">
        <v>21966.85</v>
      </c>
      <c r="F239" s="3">
        <f t="shared" ref="F239:F247" si="10">E239/9*12</f>
        <v>29289.133333333331</v>
      </c>
      <c r="G239" s="3">
        <v>28562.69</v>
      </c>
      <c r="H239" s="302">
        <v>38550.04</v>
      </c>
    </row>
    <row r="240" spans="1:8" ht="15" customHeight="1" x14ac:dyDescent="0.25">
      <c r="A240" s="2" t="s">
        <v>997</v>
      </c>
      <c r="B240" s="2" t="s">
        <v>29</v>
      </c>
      <c r="C240" s="3">
        <v>12378.3</v>
      </c>
      <c r="D240" s="3">
        <v>4343.3500000000004</v>
      </c>
      <c r="E240" s="3">
        <v>7274.38</v>
      </c>
      <c r="F240" s="3">
        <f t="shared" si="10"/>
        <v>9699.1733333333341</v>
      </c>
      <c r="G240" s="3">
        <v>10345.4</v>
      </c>
      <c r="H240" s="302">
        <v>11934.35</v>
      </c>
    </row>
    <row r="241" spans="1:13" ht="15" customHeight="1" x14ac:dyDescent="0.25">
      <c r="A241" s="2" t="s">
        <v>998</v>
      </c>
      <c r="B241" s="2" t="s">
        <v>128</v>
      </c>
      <c r="C241" s="3">
        <v>746.34</v>
      </c>
      <c r="D241" s="3">
        <v>232.84</v>
      </c>
      <c r="E241" s="3">
        <v>355.7</v>
      </c>
      <c r="F241" s="3">
        <f t="shared" si="10"/>
        <v>474.26666666666665</v>
      </c>
      <c r="G241" s="3">
        <v>769.31</v>
      </c>
      <c r="H241" s="302">
        <v>747.18</v>
      </c>
    </row>
    <row r="242" spans="1:13" ht="15" customHeight="1" x14ac:dyDescent="0.25">
      <c r="A242" s="2" t="s">
        <v>999</v>
      </c>
      <c r="B242" s="2" t="s">
        <v>33</v>
      </c>
      <c r="C242" s="3">
        <v>4288.28</v>
      </c>
      <c r="D242" s="3">
        <v>1388.14</v>
      </c>
      <c r="E242" s="3">
        <v>2299.6999999999998</v>
      </c>
      <c r="F242" s="3">
        <f t="shared" si="10"/>
        <v>3066.2666666666664</v>
      </c>
      <c r="G242" s="3">
        <v>3036.01</v>
      </c>
      <c r="H242" s="302">
        <v>4014.79</v>
      </c>
    </row>
    <row r="243" spans="1:13" ht="15" customHeight="1" x14ac:dyDescent="0.25">
      <c r="A243" s="2" t="s">
        <v>1000</v>
      </c>
      <c r="B243" s="2" t="s">
        <v>11</v>
      </c>
      <c r="C243" s="3">
        <v>2745.02</v>
      </c>
      <c r="D243" s="3">
        <v>1010.88</v>
      </c>
      <c r="E243" s="3">
        <v>1648.05</v>
      </c>
      <c r="F243" s="3">
        <f t="shared" si="10"/>
        <v>2197.4</v>
      </c>
      <c r="G243" s="3">
        <v>2185.0500000000002</v>
      </c>
      <c r="H243" s="302">
        <v>2949.08</v>
      </c>
    </row>
    <row r="244" spans="1:13" ht="15" customHeight="1" x14ac:dyDescent="0.25">
      <c r="A244" s="2" t="s">
        <v>1001</v>
      </c>
      <c r="B244" s="2" t="s">
        <v>13</v>
      </c>
      <c r="C244" s="3">
        <v>53.6</v>
      </c>
      <c r="D244" s="3">
        <v>28.11</v>
      </c>
      <c r="E244" s="3">
        <v>46.22</v>
      </c>
      <c r="F244" s="3">
        <f t="shared" si="10"/>
        <v>61.626666666666665</v>
      </c>
      <c r="G244" s="3">
        <v>41.99</v>
      </c>
      <c r="H244" s="302">
        <v>84.01</v>
      </c>
    </row>
    <row r="245" spans="1:13" ht="15" customHeight="1" x14ac:dyDescent="0.25">
      <c r="A245" s="2" t="s">
        <v>1002</v>
      </c>
      <c r="B245" s="2" t="s">
        <v>973</v>
      </c>
      <c r="C245" s="3">
        <v>98.34</v>
      </c>
      <c r="D245" s="3">
        <v>26.44</v>
      </c>
      <c r="E245" s="3">
        <v>33.57</v>
      </c>
      <c r="F245" s="3">
        <f t="shared" si="10"/>
        <v>44.76</v>
      </c>
      <c r="G245" s="3">
        <v>106.34</v>
      </c>
      <c r="H245" s="302">
        <v>137.1</v>
      </c>
    </row>
    <row r="246" spans="1:13" ht="15" customHeight="1" x14ac:dyDescent="0.25">
      <c r="A246" s="2" t="s">
        <v>1003</v>
      </c>
      <c r="B246" s="2" t="s">
        <v>39</v>
      </c>
      <c r="C246" s="3">
        <v>0</v>
      </c>
      <c r="D246" s="3">
        <v>0</v>
      </c>
      <c r="E246" s="3">
        <v>467.82</v>
      </c>
      <c r="F246" s="3">
        <f t="shared" si="10"/>
        <v>623.76</v>
      </c>
      <c r="G246" s="3">
        <v>2500</v>
      </c>
      <c r="H246" s="302">
        <v>2500</v>
      </c>
    </row>
    <row r="247" spans="1:13" ht="15" customHeight="1" x14ac:dyDescent="0.25">
      <c r="A247" s="2" t="s">
        <v>1004</v>
      </c>
      <c r="B247" s="2" t="s">
        <v>64</v>
      </c>
      <c r="C247" s="3">
        <v>0</v>
      </c>
      <c r="D247" s="3">
        <v>0</v>
      </c>
      <c r="E247" s="3">
        <v>0</v>
      </c>
      <c r="F247" s="3">
        <f t="shared" si="10"/>
        <v>0</v>
      </c>
      <c r="G247" s="3">
        <v>0</v>
      </c>
      <c r="H247" s="302">
        <v>0</v>
      </c>
    </row>
    <row r="248" spans="1:13" ht="15" customHeight="1" x14ac:dyDescent="0.25">
      <c r="A248" s="1" t="s">
        <v>1005</v>
      </c>
      <c r="B248" s="1" t="s">
        <v>2</v>
      </c>
      <c r="C248" s="4">
        <v>56871.85</v>
      </c>
      <c r="D248" s="4">
        <v>20486.18</v>
      </c>
      <c r="E248" s="4">
        <f>SUM(E239:E247)</f>
        <v>34092.29</v>
      </c>
      <c r="F248" s="4">
        <f>SUM(F239:F247)</f>
        <v>45456.386666666665</v>
      </c>
      <c r="G248" s="6">
        <f>SUM(G239:G247)</f>
        <v>47546.789999999994</v>
      </c>
      <c r="H248" s="6">
        <f>SUM(H239:H247)</f>
        <v>60916.55</v>
      </c>
    </row>
    <row r="249" spans="1:13" x14ac:dyDescent="0.25">
      <c r="A249" s="1" t="s">
        <v>2</v>
      </c>
      <c r="B249" s="1" t="s">
        <v>2</v>
      </c>
      <c r="C249" s="1" t="s">
        <v>2</v>
      </c>
      <c r="D249" s="1" t="s">
        <v>2</v>
      </c>
      <c r="E249" s="1"/>
      <c r="F249" s="1"/>
      <c r="G249" s="1" t="s">
        <v>2</v>
      </c>
      <c r="H249" s="1" t="s">
        <v>2</v>
      </c>
    </row>
    <row r="250" spans="1:13" ht="15" customHeight="1" x14ac:dyDescent="0.25">
      <c r="A250" s="109" t="s">
        <v>1006</v>
      </c>
      <c r="B250" s="109" t="s">
        <v>1007</v>
      </c>
      <c r="C250" s="110">
        <v>0</v>
      </c>
      <c r="D250" s="110">
        <v>0</v>
      </c>
      <c r="E250" s="110">
        <v>0</v>
      </c>
      <c r="F250" s="110">
        <v>0</v>
      </c>
      <c r="G250" s="110">
        <v>0</v>
      </c>
      <c r="H250" s="110">
        <f>Transfers!$C$98</f>
        <v>0</v>
      </c>
      <c r="I250" s="253"/>
    </row>
    <row r="251" spans="1:13" x14ac:dyDescent="0.25">
      <c r="A251" s="109" t="s">
        <v>1008</v>
      </c>
      <c r="B251" s="109" t="s">
        <v>1009</v>
      </c>
      <c r="C251" s="110">
        <v>23850.639999999999</v>
      </c>
      <c r="D251" s="110">
        <v>0</v>
      </c>
      <c r="E251" s="110">
        <v>0</v>
      </c>
      <c r="F251" s="110">
        <v>0</v>
      </c>
      <c r="G251" s="110">
        <v>0</v>
      </c>
      <c r="H251" s="110">
        <f>Transfers!$C$99</f>
        <v>0</v>
      </c>
      <c r="I251" s="253"/>
      <c r="M251" s="48"/>
    </row>
    <row r="252" spans="1:13" x14ac:dyDescent="0.25">
      <c r="A252" s="109" t="s">
        <v>1010</v>
      </c>
      <c r="B252" s="109" t="s">
        <v>1011</v>
      </c>
      <c r="C252" s="110">
        <v>0</v>
      </c>
      <c r="D252" s="110">
        <v>0</v>
      </c>
      <c r="E252" s="110">
        <v>0</v>
      </c>
      <c r="F252" s="110">
        <v>0</v>
      </c>
      <c r="G252" s="110">
        <v>0</v>
      </c>
      <c r="H252" s="110">
        <f>Transfers!$C$100</f>
        <v>0</v>
      </c>
      <c r="I252" s="253"/>
      <c r="M252" s="48"/>
    </row>
    <row r="253" spans="1:13" ht="15" customHeight="1" x14ac:dyDescent="0.25">
      <c r="A253" s="109" t="s">
        <v>1012</v>
      </c>
      <c r="B253" s="109" t="s">
        <v>1013</v>
      </c>
      <c r="C253" s="110">
        <v>17643.03</v>
      </c>
      <c r="D253" s="110">
        <v>0</v>
      </c>
      <c r="E253" s="110">
        <v>0</v>
      </c>
      <c r="F253" s="110">
        <v>0</v>
      </c>
      <c r="G253" s="110">
        <v>0</v>
      </c>
      <c r="H253" s="110">
        <f>Transfers!$C$101</f>
        <v>0</v>
      </c>
      <c r="I253" s="253"/>
      <c r="M253" s="48"/>
    </row>
    <row r="254" spans="1:13" ht="15" customHeight="1" x14ac:dyDescent="0.25">
      <c r="A254" s="109" t="s">
        <v>1014</v>
      </c>
      <c r="B254" s="109" t="s">
        <v>1015</v>
      </c>
      <c r="C254" s="110">
        <v>8581.11</v>
      </c>
      <c r="D254" s="110">
        <v>0</v>
      </c>
      <c r="E254" s="110">
        <v>0</v>
      </c>
      <c r="F254" s="110">
        <v>0</v>
      </c>
      <c r="G254" s="110">
        <v>0</v>
      </c>
      <c r="H254" s="110">
        <f>Transfers!$C$102</f>
        <v>0</v>
      </c>
      <c r="I254" s="253"/>
    </row>
    <row r="255" spans="1:13" ht="15" customHeight="1" x14ac:dyDescent="0.25">
      <c r="A255" s="109" t="s">
        <v>1016</v>
      </c>
      <c r="B255" s="109" t="s">
        <v>1017</v>
      </c>
      <c r="C255" s="110">
        <v>0</v>
      </c>
      <c r="D255" s="110">
        <v>0</v>
      </c>
      <c r="E255" s="110">
        <v>0</v>
      </c>
      <c r="F255" s="110">
        <v>0</v>
      </c>
      <c r="G255" s="110">
        <v>0</v>
      </c>
      <c r="H255" s="110">
        <f>Transfers!$C$103</f>
        <v>0</v>
      </c>
      <c r="I255" s="253"/>
    </row>
    <row r="256" spans="1:13" ht="15" customHeight="1" x14ac:dyDescent="0.25">
      <c r="A256" s="109" t="s">
        <v>1018</v>
      </c>
      <c r="B256" s="109" t="s">
        <v>1019</v>
      </c>
      <c r="C256" s="110">
        <v>39114.050000000003</v>
      </c>
      <c r="D256" s="110">
        <v>0</v>
      </c>
      <c r="E256" s="110">
        <v>0</v>
      </c>
      <c r="F256" s="110">
        <v>0</v>
      </c>
      <c r="G256" s="110">
        <v>0</v>
      </c>
      <c r="H256" s="110">
        <f>Transfers!$C$104</f>
        <v>0</v>
      </c>
      <c r="I256" s="253"/>
    </row>
    <row r="257" spans="1:9" ht="15" customHeight="1" x14ac:dyDescent="0.25">
      <c r="A257" s="109" t="s">
        <v>1020</v>
      </c>
      <c r="B257" s="109" t="s">
        <v>1021</v>
      </c>
      <c r="C257" s="110">
        <v>37161.25</v>
      </c>
      <c r="D257" s="110">
        <v>0</v>
      </c>
      <c r="E257" s="110">
        <v>0</v>
      </c>
      <c r="F257" s="110">
        <v>0</v>
      </c>
      <c r="G257" s="110">
        <v>0</v>
      </c>
      <c r="H257" s="110">
        <f>Transfers!$C$105</f>
        <v>0</v>
      </c>
      <c r="I257" s="253"/>
    </row>
    <row r="258" spans="1:9" ht="15" customHeight="1" x14ac:dyDescent="0.25">
      <c r="A258" s="109" t="s">
        <v>1022</v>
      </c>
      <c r="B258" s="109" t="s">
        <v>1023</v>
      </c>
      <c r="C258" s="110">
        <v>0</v>
      </c>
      <c r="D258" s="110">
        <v>0</v>
      </c>
      <c r="E258" s="110">
        <v>0</v>
      </c>
      <c r="F258" s="110">
        <v>0</v>
      </c>
      <c r="G258" s="110">
        <v>20000</v>
      </c>
      <c r="H258" s="110">
        <f>Transfers!$C$106</f>
        <v>20000</v>
      </c>
      <c r="I258" s="253"/>
    </row>
    <row r="259" spans="1:9" ht="15" customHeight="1" x14ac:dyDescent="0.25">
      <c r="A259" s="109" t="s">
        <v>1024</v>
      </c>
      <c r="B259" s="109" t="s">
        <v>1025</v>
      </c>
      <c r="C259" s="110">
        <v>0</v>
      </c>
      <c r="D259" s="110">
        <v>0</v>
      </c>
      <c r="E259" s="110">
        <v>0</v>
      </c>
      <c r="F259" s="110">
        <v>0</v>
      </c>
      <c r="G259" s="110">
        <v>22500</v>
      </c>
      <c r="H259" s="110">
        <f>Transfers!$C$107</f>
        <v>22500</v>
      </c>
      <c r="I259" s="253"/>
    </row>
    <row r="260" spans="1:9" ht="15" customHeight="1" x14ac:dyDescent="0.25">
      <c r="A260" s="109" t="s">
        <v>1026</v>
      </c>
      <c r="B260" s="109" t="s">
        <v>1027</v>
      </c>
      <c r="C260" s="110">
        <v>0</v>
      </c>
      <c r="D260" s="110">
        <v>0</v>
      </c>
      <c r="E260" s="110">
        <v>0</v>
      </c>
      <c r="F260" s="110">
        <v>0</v>
      </c>
      <c r="G260" s="110">
        <v>10000</v>
      </c>
      <c r="H260" s="110">
        <f>Transfers!$C$108</f>
        <v>10000</v>
      </c>
      <c r="I260" s="253"/>
    </row>
    <row r="261" spans="1:9" ht="15" customHeight="1" x14ac:dyDescent="0.25">
      <c r="A261" s="109" t="s">
        <v>1028</v>
      </c>
      <c r="B261" s="109" t="s">
        <v>1029</v>
      </c>
      <c r="C261" s="110">
        <v>0</v>
      </c>
      <c r="D261" s="110">
        <v>0</v>
      </c>
      <c r="E261" s="110">
        <v>0</v>
      </c>
      <c r="F261" s="110">
        <v>0</v>
      </c>
      <c r="G261" s="110">
        <v>10000</v>
      </c>
      <c r="H261" s="110">
        <f>Transfers!$C$109</f>
        <v>10000</v>
      </c>
      <c r="I261" s="253"/>
    </row>
    <row r="262" spans="1:9" ht="15" customHeight="1" x14ac:dyDescent="0.25">
      <c r="A262" s="109" t="s">
        <v>1030</v>
      </c>
      <c r="B262" s="109" t="s">
        <v>1031</v>
      </c>
      <c r="C262" s="110">
        <v>0</v>
      </c>
      <c r="D262" s="110">
        <v>0</v>
      </c>
      <c r="E262" s="110">
        <v>0</v>
      </c>
      <c r="F262" s="110">
        <v>0</v>
      </c>
      <c r="G262" s="110">
        <v>5000</v>
      </c>
      <c r="H262" s="110">
        <f>Transfers!$C$110</f>
        <v>5000</v>
      </c>
      <c r="I262" s="253"/>
    </row>
    <row r="263" spans="1:9" ht="15" customHeight="1" x14ac:dyDescent="0.25">
      <c r="A263" s="109" t="s">
        <v>1032</v>
      </c>
      <c r="B263" s="109" t="s">
        <v>1033</v>
      </c>
      <c r="C263" s="110">
        <v>0</v>
      </c>
      <c r="D263" s="110">
        <v>0</v>
      </c>
      <c r="E263" s="110">
        <v>0</v>
      </c>
      <c r="F263" s="110">
        <v>0</v>
      </c>
      <c r="G263" s="110">
        <v>95000</v>
      </c>
      <c r="H263" s="110">
        <f>Transfers!$C$111</f>
        <v>0</v>
      </c>
      <c r="I263" s="253"/>
    </row>
    <row r="264" spans="1:9" x14ac:dyDescent="0.25">
      <c r="A264" s="109" t="s">
        <v>1034</v>
      </c>
      <c r="B264" s="109" t="s">
        <v>1035</v>
      </c>
      <c r="C264" s="110">
        <v>0</v>
      </c>
      <c r="D264" s="110">
        <v>0</v>
      </c>
      <c r="E264" s="110">
        <v>0</v>
      </c>
      <c r="F264" s="110">
        <v>0</v>
      </c>
      <c r="G264" s="110">
        <v>2500</v>
      </c>
      <c r="H264" s="110">
        <f>Transfers!$C$112</f>
        <v>2500</v>
      </c>
      <c r="I264" s="253"/>
    </row>
    <row r="265" spans="1:9" ht="15" customHeight="1" x14ac:dyDescent="0.25">
      <c r="A265" s="109" t="s">
        <v>1036</v>
      </c>
      <c r="B265" s="109" t="s">
        <v>1037</v>
      </c>
      <c r="C265" s="110">
        <v>0</v>
      </c>
      <c r="D265" s="110">
        <v>0</v>
      </c>
      <c r="E265" s="110">
        <v>0</v>
      </c>
      <c r="F265" s="110">
        <v>0</v>
      </c>
      <c r="G265" s="110">
        <v>1750</v>
      </c>
      <c r="H265" s="110">
        <f>Transfers!$C$113</f>
        <v>1750</v>
      </c>
      <c r="I265" s="253"/>
    </row>
    <row r="266" spans="1:9" ht="15" customHeight="1" x14ac:dyDescent="0.25">
      <c r="A266" s="109" t="s">
        <v>3570</v>
      </c>
      <c r="B266" s="109" t="s">
        <v>3581</v>
      </c>
      <c r="C266" s="110">
        <v>0</v>
      </c>
      <c r="D266" s="110">
        <v>0</v>
      </c>
      <c r="E266" s="110">
        <v>0</v>
      </c>
      <c r="F266" s="110">
        <v>0</v>
      </c>
      <c r="G266" s="110">
        <v>0</v>
      </c>
      <c r="H266" s="110">
        <f>Transfers!$C$114</f>
        <v>62500</v>
      </c>
      <c r="I266" s="253"/>
    </row>
    <row r="267" spans="1:9" ht="15" customHeight="1" x14ac:dyDescent="0.25">
      <c r="A267" s="109" t="s">
        <v>3570</v>
      </c>
      <c r="B267" s="109" t="s">
        <v>3582</v>
      </c>
      <c r="C267" s="110">
        <v>0</v>
      </c>
      <c r="D267" s="110">
        <v>0</v>
      </c>
      <c r="E267" s="110">
        <v>0</v>
      </c>
      <c r="F267" s="110">
        <v>0</v>
      </c>
      <c r="G267" s="110">
        <v>0</v>
      </c>
      <c r="H267" s="110">
        <f>Transfers!$C$115</f>
        <v>18750</v>
      </c>
      <c r="I267" s="253"/>
    </row>
    <row r="268" spans="1:9" ht="15" customHeight="1" x14ac:dyDescent="0.25">
      <c r="A268" s="109" t="s">
        <v>3570</v>
      </c>
      <c r="B268" s="109" t="s">
        <v>3583</v>
      </c>
      <c r="C268" s="110">
        <v>0</v>
      </c>
      <c r="D268" s="110">
        <v>0</v>
      </c>
      <c r="E268" s="110">
        <v>0</v>
      </c>
      <c r="F268" s="110">
        <v>0</v>
      </c>
      <c r="G268" s="110">
        <v>0</v>
      </c>
      <c r="H268" s="110">
        <f>Transfers!$C$116</f>
        <v>11250</v>
      </c>
      <c r="I268" s="253"/>
    </row>
    <row r="269" spans="1:9" ht="15" customHeight="1" x14ac:dyDescent="0.25">
      <c r="A269" s="109" t="s">
        <v>3570</v>
      </c>
      <c r="B269" s="109" t="s">
        <v>3584</v>
      </c>
      <c r="C269" s="110">
        <v>0</v>
      </c>
      <c r="D269" s="110">
        <v>0</v>
      </c>
      <c r="E269" s="110">
        <v>0</v>
      </c>
      <c r="F269" s="110">
        <v>0</v>
      </c>
      <c r="G269" s="110">
        <v>0</v>
      </c>
      <c r="H269" s="110">
        <f>Transfers!$C$117</f>
        <v>12500</v>
      </c>
      <c r="I269" s="253"/>
    </row>
    <row r="270" spans="1:9" x14ac:dyDescent="0.25">
      <c r="A270" s="1" t="s">
        <v>2</v>
      </c>
      <c r="B270" s="1" t="s">
        <v>2</v>
      </c>
      <c r="C270" s="1" t="s">
        <v>2</v>
      </c>
      <c r="D270" s="1" t="s">
        <v>2</v>
      </c>
      <c r="E270" s="1"/>
      <c r="F270" s="1"/>
      <c r="G270" s="1" t="s">
        <v>2</v>
      </c>
      <c r="H270" s="1" t="s">
        <v>2</v>
      </c>
    </row>
    <row r="271" spans="1:9" x14ac:dyDescent="0.25">
      <c r="A271" s="1" t="s">
        <v>1038</v>
      </c>
      <c r="B271" s="1" t="s">
        <v>2</v>
      </c>
      <c r="C271" s="4">
        <v>1531871.22</v>
      </c>
      <c r="D271" s="4">
        <v>655717.68999999994</v>
      </c>
      <c r="E271" s="4">
        <f>SUM(E250:E269)+E133+E144+E170+E200+E204+E219+E236+E248</f>
        <v>1165060.23</v>
      </c>
      <c r="F271" s="4">
        <f>SUM(F250:F269)+F133+F144+F170+F200+F204+F219+F236+F248</f>
        <v>1553413.6399999997</v>
      </c>
      <c r="G271" s="4">
        <f>SUM(G250:G269)+G133+G144+G170+G200+G204+G219+G236+G248</f>
        <v>4415153.0100000007</v>
      </c>
      <c r="H271" s="4">
        <f>SUM(H250:H269)+H133+H144+H170+H200+H204+H219+H236+H248</f>
        <v>6438993.0363889206</v>
      </c>
    </row>
    <row r="272" spans="1:9" ht="15" customHeight="1" x14ac:dyDescent="0.25">
      <c r="A272" s="291" t="s">
        <v>2693</v>
      </c>
      <c r="B272" s="291"/>
      <c r="C272" s="294">
        <f t="shared" ref="C272:H272" si="11">C7+C92-C271</f>
        <v>132611.59000000008</v>
      </c>
      <c r="D272" s="294">
        <f t="shared" si="11"/>
        <v>-144169.89999999991</v>
      </c>
      <c r="E272" s="294">
        <f t="shared" si="11"/>
        <v>-387061.14</v>
      </c>
      <c r="F272" s="294">
        <f t="shared" si="11"/>
        <v>1849924.5500000003</v>
      </c>
      <c r="G272" s="294">
        <f t="shared" si="11"/>
        <v>72478.579999999143</v>
      </c>
      <c r="H272" s="294">
        <f t="shared" si="11"/>
        <v>885552.51361108012</v>
      </c>
      <c r="I272" s="291"/>
    </row>
    <row r="273" spans="1:8" x14ac:dyDescent="0.25">
      <c r="A273" s="1" t="s">
        <v>2</v>
      </c>
      <c r="B273" s="1" t="s">
        <v>2</v>
      </c>
      <c r="C273" s="1" t="s">
        <v>2</v>
      </c>
      <c r="D273" s="1" t="s">
        <v>2</v>
      </c>
      <c r="E273" s="1"/>
      <c r="F273" s="1"/>
      <c r="G273" s="1" t="s">
        <v>2</v>
      </c>
      <c r="H273" s="1" t="s">
        <v>2</v>
      </c>
    </row>
  </sheetData>
  <mergeCells count="2">
    <mergeCell ref="A2:I2"/>
    <mergeCell ref="A3:I3"/>
  </mergeCells>
  <printOptions headings="1"/>
  <pageMargins left="0.2" right="0.2" top="0.75" bottom="0.75" header="0.3" footer="0.3"/>
  <pageSetup paperSize="5" scale="89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5E875-45ED-4B54-A93A-DE6843F6789B}">
  <sheetPr>
    <tabColor rgb="FF92D050"/>
    <pageSetUpPr fitToPage="1"/>
  </sheetPr>
  <dimension ref="A1:M31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4020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H7-F30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3552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2694</v>
      </c>
      <c r="B7" s="291"/>
      <c r="C7" s="294">
        <v>577328.09</v>
      </c>
      <c r="D7" s="294">
        <v>554349.81999999995</v>
      </c>
      <c r="E7" s="294">
        <v>554349.81999999995</v>
      </c>
      <c r="F7" s="294">
        <v>554349.81999999995</v>
      </c>
      <c r="G7" s="294">
        <v>554349.81999999995</v>
      </c>
      <c r="H7" s="294">
        <f>F30</f>
        <v>431372.77999999991</v>
      </c>
      <c r="I7" s="291"/>
    </row>
    <row r="8" spans="1:13" x14ac:dyDescent="0.25">
      <c r="A8" s="23" t="s">
        <v>1039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ht="36" x14ac:dyDescent="0.25">
      <c r="A10" s="23" t="s">
        <v>2695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30" t="s">
        <v>2696</v>
      </c>
      <c r="B11" s="30" t="s">
        <v>2697</v>
      </c>
      <c r="C11" s="31">
        <v>162580.98000000001</v>
      </c>
      <c r="D11" s="31">
        <v>54487.29</v>
      </c>
      <c r="E11" s="31">
        <v>91153.79</v>
      </c>
      <c r="F11" s="31">
        <f>E11/9*12</f>
        <v>121538.38666666666</v>
      </c>
      <c r="G11" s="31">
        <v>100000</v>
      </c>
      <c r="H11" s="31">
        <v>100000</v>
      </c>
      <c r="I11" s="29"/>
    </row>
    <row r="12" spans="1:13" x14ac:dyDescent="0.25">
      <c r="A12" s="30" t="s">
        <v>2698</v>
      </c>
      <c r="B12" s="30" t="s">
        <v>2699</v>
      </c>
      <c r="C12" s="31">
        <v>0</v>
      </c>
      <c r="D12" s="31">
        <v>0</v>
      </c>
      <c r="E12" s="31">
        <v>0</v>
      </c>
      <c r="F12" s="31">
        <f>E12/9*12</f>
        <v>0</v>
      </c>
      <c r="G12" s="31">
        <v>0</v>
      </c>
      <c r="H12" s="31">
        <v>0</v>
      </c>
      <c r="I12" s="29"/>
    </row>
    <row r="13" spans="1:13" ht="36" x14ac:dyDescent="0.25">
      <c r="A13" s="23" t="s">
        <v>2700</v>
      </c>
      <c r="B13" s="23" t="s">
        <v>2</v>
      </c>
      <c r="C13" s="32">
        <v>162580.98000000001</v>
      </c>
      <c r="D13" s="32">
        <v>54487.29</v>
      </c>
      <c r="E13" s="32">
        <f>E11+E12</f>
        <v>91153.79</v>
      </c>
      <c r="F13" s="32">
        <f>F11+F12</f>
        <v>121538.38666666666</v>
      </c>
      <c r="G13" s="32">
        <f>SUM(G11:G12)</f>
        <v>100000</v>
      </c>
      <c r="H13" s="32">
        <f>SUM(H11:H12)</f>
        <v>100000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x14ac:dyDescent="0.25">
      <c r="A15" s="23" t="s">
        <v>2175</v>
      </c>
      <c r="B15" s="23" t="s">
        <v>2</v>
      </c>
      <c r="C15" s="29"/>
      <c r="D15" s="29"/>
      <c r="E15" s="29"/>
      <c r="F15" s="29"/>
      <c r="G15" s="29"/>
      <c r="H15" s="29"/>
      <c r="I15" s="29"/>
    </row>
    <row r="16" spans="1:13" x14ac:dyDescent="0.25">
      <c r="A16" s="23" t="s">
        <v>2176</v>
      </c>
      <c r="B16" s="23" t="s">
        <v>2</v>
      </c>
      <c r="C16" s="29"/>
      <c r="D16" s="29"/>
      <c r="E16" s="29"/>
      <c r="F16" s="29"/>
      <c r="G16" s="29"/>
      <c r="H16" s="29"/>
      <c r="I16" s="29"/>
    </row>
    <row r="17" spans="1:9" x14ac:dyDescent="0.25">
      <c r="A17" s="30" t="s">
        <v>2701</v>
      </c>
      <c r="B17" s="30" t="s">
        <v>2409</v>
      </c>
      <c r="C17" s="31">
        <v>337.85</v>
      </c>
      <c r="D17" s="31">
        <v>247.95</v>
      </c>
      <c r="E17" s="31">
        <v>730.18</v>
      </c>
      <c r="F17" s="31">
        <f t="shared" ref="F17:F18" si="0">E17/9*12</f>
        <v>973.57333333333327</v>
      </c>
      <c r="G17" s="31">
        <v>0</v>
      </c>
      <c r="H17" s="31">
        <v>0</v>
      </c>
      <c r="I17" s="29"/>
    </row>
    <row r="18" spans="1:9" x14ac:dyDescent="0.25">
      <c r="A18" s="30" t="s">
        <v>2702</v>
      </c>
      <c r="B18" s="30" t="s">
        <v>2703</v>
      </c>
      <c r="C18" s="31">
        <v>0</v>
      </c>
      <c r="D18" s="31">
        <v>0</v>
      </c>
      <c r="E18" s="31">
        <v>0</v>
      </c>
      <c r="F18" s="31">
        <f t="shared" si="0"/>
        <v>0</v>
      </c>
      <c r="G18" s="31">
        <v>0</v>
      </c>
      <c r="H18" s="31">
        <v>0</v>
      </c>
      <c r="I18" s="29"/>
    </row>
    <row r="19" spans="1:9" ht="24" x14ac:dyDescent="0.25">
      <c r="A19" s="23" t="s">
        <v>2179</v>
      </c>
      <c r="B19" s="23" t="s">
        <v>2</v>
      </c>
      <c r="C19" s="32">
        <v>337.85</v>
      </c>
      <c r="D19" s="32">
        <v>247.95</v>
      </c>
      <c r="E19" s="32">
        <f>SUM(E17:E18)</f>
        <v>730.18</v>
      </c>
      <c r="F19" s="32">
        <f>SUM(F17:F18)</f>
        <v>973.57333333333327</v>
      </c>
      <c r="G19" s="32">
        <f>SUM(G17:G18)</f>
        <v>0</v>
      </c>
      <c r="H19" s="32">
        <f>SUM(H17:H18)</f>
        <v>0</v>
      </c>
      <c r="I19" s="29"/>
    </row>
    <row r="20" spans="1:9" x14ac:dyDescent="0.25">
      <c r="A20" s="23" t="s">
        <v>2</v>
      </c>
      <c r="B20" s="23" t="s">
        <v>2</v>
      </c>
      <c r="C20" s="23" t="s">
        <v>2</v>
      </c>
      <c r="D20" s="23" t="s">
        <v>2</v>
      </c>
      <c r="E20" s="23"/>
      <c r="F20" s="23"/>
      <c r="G20" s="23" t="s">
        <v>2</v>
      </c>
      <c r="H20" s="23" t="s">
        <v>2</v>
      </c>
      <c r="I20" s="29"/>
    </row>
    <row r="21" spans="1:9" ht="24" x14ac:dyDescent="0.25">
      <c r="A21" s="23" t="s">
        <v>2180</v>
      </c>
      <c r="B21" s="23" t="s">
        <v>2</v>
      </c>
      <c r="C21" s="32">
        <v>337.85</v>
      </c>
      <c r="D21" s="32">
        <v>247.95</v>
      </c>
      <c r="E21" s="32">
        <f>E19</f>
        <v>730.18</v>
      </c>
      <c r="F21" s="32">
        <f>F19</f>
        <v>973.57333333333327</v>
      </c>
      <c r="G21" s="32">
        <f>G19</f>
        <v>0</v>
      </c>
      <c r="H21" s="32">
        <f>H19</f>
        <v>0</v>
      </c>
      <c r="I21" s="29"/>
    </row>
    <row r="22" spans="1:9" x14ac:dyDescent="0.25">
      <c r="A22" s="23"/>
      <c r="B22" s="23"/>
      <c r="C22" s="32"/>
      <c r="D22" s="32"/>
      <c r="E22" s="32"/>
      <c r="F22" s="32"/>
      <c r="G22" s="32"/>
      <c r="H22" s="32"/>
      <c r="I22" s="29"/>
    </row>
    <row r="23" spans="1:9" x14ac:dyDescent="0.25">
      <c r="A23" s="23" t="s">
        <v>2047</v>
      </c>
      <c r="B23" s="23" t="s">
        <v>2</v>
      </c>
      <c r="C23" s="32">
        <v>162918.82999999999</v>
      </c>
      <c r="D23" s="32">
        <v>54735.24</v>
      </c>
      <c r="E23" s="32">
        <f>E13+E21</f>
        <v>91883.969999999987</v>
      </c>
      <c r="F23" s="32">
        <f>F13+F21</f>
        <v>122511.95999999999</v>
      </c>
      <c r="G23" s="32">
        <f>G21+G13</f>
        <v>100000</v>
      </c>
      <c r="H23" s="32">
        <f>H21+H13</f>
        <v>100000</v>
      </c>
      <c r="I23" s="29"/>
    </row>
    <row r="24" spans="1:9" x14ac:dyDescent="0.25">
      <c r="A24" s="1" t="s">
        <v>740</v>
      </c>
      <c r="B24" s="1" t="s">
        <v>2</v>
      </c>
      <c r="C24" s="40"/>
      <c r="G24" s="40"/>
    </row>
    <row r="25" spans="1:9" ht="15" customHeight="1" x14ac:dyDescent="0.25">
      <c r="A25" s="109" t="s">
        <v>1040</v>
      </c>
      <c r="B25" s="109" t="s">
        <v>1041</v>
      </c>
      <c r="C25" s="110">
        <v>91813.5</v>
      </c>
      <c r="D25" s="110">
        <v>0</v>
      </c>
      <c r="E25" s="110">
        <v>0</v>
      </c>
      <c r="F25" s="110">
        <v>50000</v>
      </c>
      <c r="G25" s="110">
        <v>50000</v>
      </c>
      <c r="H25" s="110">
        <f>Transfers!$C$10</f>
        <v>50000</v>
      </c>
      <c r="I25" s="108"/>
    </row>
    <row r="26" spans="1:9" ht="15" customHeight="1" x14ac:dyDescent="0.25">
      <c r="A26" s="109" t="s">
        <v>1042</v>
      </c>
      <c r="B26" s="109" t="s">
        <v>1043</v>
      </c>
      <c r="C26" s="110">
        <v>70272</v>
      </c>
      <c r="D26" s="110">
        <v>0</v>
      </c>
      <c r="E26" s="110">
        <v>0</v>
      </c>
      <c r="F26" s="110">
        <v>70272</v>
      </c>
      <c r="G26" s="110">
        <v>70272</v>
      </c>
      <c r="H26" s="110">
        <f>Transfers!$C$37</f>
        <v>70000</v>
      </c>
      <c r="I26" s="108"/>
    </row>
    <row r="27" spans="1:9" x14ac:dyDescent="0.25">
      <c r="A27" s="109" t="s">
        <v>1044</v>
      </c>
      <c r="B27" s="109" t="s">
        <v>1045</v>
      </c>
      <c r="C27" s="110">
        <v>23811.599999999999</v>
      </c>
      <c r="D27" s="110">
        <v>0</v>
      </c>
      <c r="E27" s="110">
        <v>1568.21</v>
      </c>
      <c r="F27" s="110">
        <v>25217</v>
      </c>
      <c r="G27" s="110">
        <v>25217</v>
      </c>
      <c r="H27" s="110">
        <f>Transfers!$C$43</f>
        <v>25000</v>
      </c>
      <c r="I27" s="108"/>
    </row>
    <row r="28" spans="1:9" ht="15" customHeight="1" x14ac:dyDescent="0.25">
      <c r="A28" s="109" t="s">
        <v>1046</v>
      </c>
      <c r="B28" s="109" t="s">
        <v>1047</v>
      </c>
      <c r="C28" s="110">
        <v>0</v>
      </c>
      <c r="D28" s="110">
        <v>57179.14</v>
      </c>
      <c r="E28" s="110">
        <v>89946.33</v>
      </c>
      <c r="F28" s="110">
        <v>100000</v>
      </c>
      <c r="G28" s="110">
        <v>100000</v>
      </c>
      <c r="H28" s="110">
        <f>Transfers!$C$51</f>
        <v>75000</v>
      </c>
      <c r="I28" s="108"/>
    </row>
    <row r="29" spans="1:9" ht="15" customHeight="1" x14ac:dyDescent="0.25">
      <c r="A29" s="1" t="s">
        <v>1048</v>
      </c>
      <c r="B29" s="1" t="s">
        <v>2</v>
      </c>
      <c r="C29" s="4">
        <v>185897.1</v>
      </c>
      <c r="D29" s="4">
        <v>57179.14</v>
      </c>
      <c r="E29" s="4">
        <f>SUM(E25:E28)</f>
        <v>91514.540000000008</v>
      </c>
      <c r="F29" s="4">
        <f>SUM(F25:F28)</f>
        <v>245489</v>
      </c>
      <c r="G29" s="6">
        <f>SUM(G25:G28)</f>
        <v>245489</v>
      </c>
      <c r="H29" s="6">
        <f>SUM(H25:H28)</f>
        <v>220000</v>
      </c>
    </row>
    <row r="30" spans="1:9" ht="15" customHeight="1" x14ac:dyDescent="0.25">
      <c r="A30" s="291" t="s">
        <v>2704</v>
      </c>
      <c r="B30" s="291"/>
      <c r="C30" s="294">
        <f>C7+C23-C29</f>
        <v>554349.81999999995</v>
      </c>
      <c r="D30" s="294">
        <f t="shared" ref="D30:H30" si="1">D7+D23-D29</f>
        <v>551905.91999999993</v>
      </c>
      <c r="E30" s="294">
        <f t="shared" si="1"/>
        <v>554719.24999999988</v>
      </c>
      <c r="F30" s="294">
        <f t="shared" si="1"/>
        <v>431372.77999999991</v>
      </c>
      <c r="G30" s="294">
        <f t="shared" si="1"/>
        <v>408860.81999999995</v>
      </c>
      <c r="H30" s="294">
        <f t="shared" si="1"/>
        <v>311372.77999999991</v>
      </c>
      <c r="I30" s="291"/>
    </row>
    <row r="31" spans="1:9" x14ac:dyDescent="0.25">
      <c r="A31" s="1" t="s">
        <v>2</v>
      </c>
      <c r="B31" s="1" t="s">
        <v>2</v>
      </c>
      <c r="C31" s="1" t="s">
        <v>2</v>
      </c>
      <c r="D31" s="1" t="s">
        <v>2</v>
      </c>
      <c r="E31" s="1"/>
      <c r="F31" s="1"/>
      <c r="G31" s="1" t="s">
        <v>2</v>
      </c>
      <c r="H31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1BF73-84DA-4579-A0B9-FD12323AC236}">
  <sheetPr>
    <tabColor rgb="FF92D050"/>
    <pageSetUpPr fitToPage="1"/>
  </sheetPr>
  <dimension ref="A1:M36"/>
  <sheetViews>
    <sheetView showGridLines="0" zoomScaleNormal="100" workbookViewId="0">
      <pane ySplit="5" topLeftCell="A22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4019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H7-F36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x14ac:dyDescent="0.25">
      <c r="A7" s="291" t="s">
        <v>2705</v>
      </c>
      <c r="B7" s="291"/>
      <c r="C7" s="294">
        <v>1058184.67</v>
      </c>
      <c r="D7" s="294">
        <v>1360447.98</v>
      </c>
      <c r="E7" s="294">
        <v>1360447.98</v>
      </c>
      <c r="F7" s="294">
        <v>1360447.98</v>
      </c>
      <c r="G7" s="294">
        <v>1360447.98</v>
      </c>
      <c r="H7" s="294">
        <f>F36</f>
        <v>919907.82000000007</v>
      </c>
      <c r="I7" s="291"/>
    </row>
    <row r="8" spans="1:13" x14ac:dyDescent="0.25">
      <c r="A8" s="23" t="s">
        <v>1049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ht="24" x14ac:dyDescent="0.25">
      <c r="A10" s="23" t="s">
        <v>2706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2707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2708</v>
      </c>
      <c r="B12" s="30" t="s">
        <v>2709</v>
      </c>
      <c r="C12" s="31">
        <v>0</v>
      </c>
      <c r="D12" s="31">
        <v>0</v>
      </c>
      <c r="E12" s="31">
        <v>0</v>
      </c>
      <c r="F12" s="31">
        <f>E12/9*12</f>
        <v>0</v>
      </c>
      <c r="G12" s="31">
        <v>0</v>
      </c>
      <c r="H12" s="31">
        <v>0</v>
      </c>
      <c r="I12" s="29"/>
    </row>
    <row r="13" spans="1:13" x14ac:dyDescent="0.25">
      <c r="A13" s="23" t="s">
        <v>2710</v>
      </c>
      <c r="B13" s="23" t="s">
        <v>2</v>
      </c>
      <c r="C13" s="32">
        <v>0</v>
      </c>
      <c r="D13" s="32">
        <v>0</v>
      </c>
      <c r="E13" s="32">
        <f>E12</f>
        <v>0</v>
      </c>
      <c r="F13" s="32">
        <f>F12</f>
        <v>0</v>
      </c>
      <c r="G13" s="32">
        <f>SUM(G12)</f>
        <v>0</v>
      </c>
      <c r="H13" s="32">
        <f>SUM(H12)</f>
        <v>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x14ac:dyDescent="0.25">
      <c r="A15" s="23" t="s">
        <v>2711</v>
      </c>
      <c r="B15" s="23" t="s">
        <v>2</v>
      </c>
      <c r="C15" s="29"/>
      <c r="D15" s="29"/>
      <c r="E15" s="29"/>
      <c r="F15" s="29"/>
      <c r="G15" s="29"/>
      <c r="H15" s="29"/>
      <c r="I15" s="29"/>
    </row>
    <row r="16" spans="1:13" ht="24" x14ac:dyDescent="0.25">
      <c r="A16" s="23" t="s">
        <v>2712</v>
      </c>
      <c r="B16" s="23" t="s">
        <v>2</v>
      </c>
      <c r="C16" s="29"/>
      <c r="D16" s="29"/>
      <c r="E16" s="29"/>
      <c r="F16" s="29"/>
      <c r="G16" s="29"/>
      <c r="H16" s="29"/>
      <c r="I16" s="29"/>
    </row>
    <row r="17" spans="1:9" x14ac:dyDescent="0.25">
      <c r="A17" s="30" t="s">
        <v>2713</v>
      </c>
      <c r="B17" s="30" t="s">
        <v>2714</v>
      </c>
      <c r="C17" s="31">
        <v>521184.97</v>
      </c>
      <c r="D17" s="31">
        <v>137989</v>
      </c>
      <c r="E17" s="31">
        <v>346508</v>
      </c>
      <c r="F17" s="31">
        <f t="shared" ref="F17:F19" si="0">E17/9*12</f>
        <v>462010.66666666669</v>
      </c>
      <c r="G17" s="31">
        <v>400000</v>
      </c>
      <c r="H17" s="31">
        <v>400000</v>
      </c>
      <c r="I17" s="29"/>
    </row>
    <row r="18" spans="1:9" x14ac:dyDescent="0.25">
      <c r="A18" s="30" t="s">
        <v>2715</v>
      </c>
      <c r="B18" s="30" t="s">
        <v>2716</v>
      </c>
      <c r="C18" s="31">
        <v>0</v>
      </c>
      <c r="D18" s="31">
        <v>0</v>
      </c>
      <c r="E18" s="31">
        <v>0</v>
      </c>
      <c r="F18" s="31">
        <f t="shared" si="0"/>
        <v>0</v>
      </c>
      <c r="G18" s="31">
        <v>0</v>
      </c>
      <c r="H18" s="31">
        <v>0</v>
      </c>
      <c r="I18" s="29"/>
    </row>
    <row r="19" spans="1:9" x14ac:dyDescent="0.25">
      <c r="A19" s="30" t="s">
        <v>2717</v>
      </c>
      <c r="B19" s="30" t="s">
        <v>2718</v>
      </c>
      <c r="C19" s="31">
        <v>0</v>
      </c>
      <c r="D19" s="31">
        <v>0</v>
      </c>
      <c r="E19" s="31">
        <v>0</v>
      </c>
      <c r="F19" s="31">
        <f t="shared" si="0"/>
        <v>0</v>
      </c>
      <c r="G19" s="31">
        <v>0</v>
      </c>
      <c r="H19" s="31">
        <v>0</v>
      </c>
      <c r="I19" s="29"/>
    </row>
    <row r="20" spans="1:9" ht="24" x14ac:dyDescent="0.25">
      <c r="A20" s="23" t="s">
        <v>2719</v>
      </c>
      <c r="B20" s="23" t="s">
        <v>2</v>
      </c>
      <c r="C20" s="32">
        <v>521184.97</v>
      </c>
      <c r="D20" s="32">
        <v>137989</v>
      </c>
      <c r="E20" s="32">
        <f>SUM(E17:E19)</f>
        <v>346508</v>
      </c>
      <c r="F20" s="32">
        <f>SUM(F17:F19)</f>
        <v>462010.66666666669</v>
      </c>
      <c r="G20" s="32">
        <f>SUM(G17:G19)</f>
        <v>400000</v>
      </c>
      <c r="H20" s="32">
        <f>SUM(H17:H19)</f>
        <v>400000</v>
      </c>
      <c r="I20" s="29"/>
    </row>
    <row r="21" spans="1:9" x14ac:dyDescent="0.25">
      <c r="A21" s="23" t="s">
        <v>2</v>
      </c>
      <c r="B21" s="23" t="s">
        <v>2</v>
      </c>
      <c r="C21" s="23" t="s">
        <v>2</v>
      </c>
      <c r="D21" s="23" t="s">
        <v>2</v>
      </c>
      <c r="E21" s="23"/>
      <c r="F21" s="23"/>
      <c r="G21" s="23" t="s">
        <v>2</v>
      </c>
      <c r="H21" s="23" t="s">
        <v>2</v>
      </c>
      <c r="I21" s="29"/>
    </row>
    <row r="22" spans="1:9" x14ac:dyDescent="0.25">
      <c r="A22" s="23" t="s">
        <v>2175</v>
      </c>
      <c r="B22" s="23" t="s">
        <v>2</v>
      </c>
      <c r="C22" s="29"/>
      <c r="D22" s="29"/>
      <c r="E22" s="29"/>
      <c r="F22" s="29"/>
      <c r="G22" s="29"/>
      <c r="H22" s="29"/>
      <c r="I22" s="29"/>
    </row>
    <row r="23" spans="1:9" x14ac:dyDescent="0.25">
      <c r="A23" s="23" t="s">
        <v>2176</v>
      </c>
      <c r="B23" s="23" t="s">
        <v>2</v>
      </c>
      <c r="C23" s="29"/>
      <c r="D23" s="29"/>
      <c r="E23" s="29"/>
      <c r="F23" s="29"/>
      <c r="G23" s="29"/>
      <c r="H23" s="29"/>
      <c r="I23" s="29"/>
    </row>
    <row r="24" spans="1:9" x14ac:dyDescent="0.25">
      <c r="A24" s="30" t="s">
        <v>2722</v>
      </c>
      <c r="B24" s="30" t="s">
        <v>2409</v>
      </c>
      <c r="C24" s="31">
        <v>876.19</v>
      </c>
      <c r="D24" s="31">
        <v>623.76</v>
      </c>
      <c r="E24" s="31">
        <v>1836.88</v>
      </c>
      <c r="F24" s="31">
        <f t="shared" ref="F24:F25" si="1">E24/9*12</f>
        <v>2449.1733333333336</v>
      </c>
      <c r="G24" s="31">
        <v>0</v>
      </c>
      <c r="H24" s="31">
        <v>500</v>
      </c>
      <c r="I24" s="29"/>
    </row>
    <row r="25" spans="1:9" x14ac:dyDescent="0.25">
      <c r="A25" s="30" t="s">
        <v>2723</v>
      </c>
      <c r="B25" s="30" t="s">
        <v>2703</v>
      </c>
      <c r="C25" s="31">
        <v>0</v>
      </c>
      <c r="D25" s="31">
        <v>0</v>
      </c>
      <c r="E25" s="31">
        <v>0</v>
      </c>
      <c r="F25" s="31">
        <f t="shared" si="1"/>
        <v>0</v>
      </c>
      <c r="G25" s="31">
        <v>0</v>
      </c>
      <c r="H25" s="31">
        <v>0</v>
      </c>
      <c r="I25" s="29"/>
    </row>
    <row r="26" spans="1:9" ht="24" x14ac:dyDescent="0.25">
      <c r="A26" s="23" t="s">
        <v>2179</v>
      </c>
      <c r="B26" s="23" t="s">
        <v>2</v>
      </c>
      <c r="C26" s="32">
        <v>876.19</v>
      </c>
      <c r="D26" s="32">
        <v>623.76</v>
      </c>
      <c r="E26" s="32">
        <f>SUM(E24:E25)</f>
        <v>1836.88</v>
      </c>
      <c r="F26" s="32">
        <f>SUM(F24:F25)</f>
        <v>2449.1733333333336</v>
      </c>
      <c r="G26" s="32">
        <f>SUM(G24:G25)</f>
        <v>0</v>
      </c>
      <c r="H26" s="32">
        <f>SUM(H24:H25)</f>
        <v>500</v>
      </c>
      <c r="I26" s="29"/>
    </row>
    <row r="27" spans="1:9" x14ac:dyDescent="0.25">
      <c r="A27" s="23" t="s">
        <v>2</v>
      </c>
      <c r="B27" s="23" t="s">
        <v>2</v>
      </c>
      <c r="C27" s="23" t="s">
        <v>2</v>
      </c>
      <c r="D27" s="23" t="s">
        <v>2</v>
      </c>
      <c r="E27" s="23"/>
      <c r="F27" s="23"/>
      <c r="G27" s="23" t="s">
        <v>2</v>
      </c>
      <c r="H27" s="23" t="s">
        <v>2</v>
      </c>
      <c r="I27" s="29"/>
    </row>
    <row r="28" spans="1:9" x14ac:dyDescent="0.25">
      <c r="A28" s="23" t="s">
        <v>2047</v>
      </c>
      <c r="B28" s="23" t="s">
        <v>2</v>
      </c>
      <c r="C28" s="32">
        <v>522061.16</v>
      </c>
      <c r="D28" s="32">
        <v>138612.76</v>
      </c>
      <c r="E28" s="32">
        <f>E13+E20+E26</f>
        <v>348344.88</v>
      </c>
      <c r="F28" s="32">
        <f>F13+F20+F26</f>
        <v>464459.84</v>
      </c>
      <c r="G28" s="32">
        <f>G26+G20+G13</f>
        <v>400000</v>
      </c>
      <c r="H28" s="32">
        <f>H26+H20+H13</f>
        <v>400500</v>
      </c>
      <c r="I28" s="29"/>
    </row>
    <row r="29" spans="1:9" ht="15" customHeight="1" x14ac:dyDescent="0.25">
      <c r="A29" s="1" t="s">
        <v>740</v>
      </c>
      <c r="B29" s="1" t="s">
        <v>2</v>
      </c>
      <c r="C29" s="41"/>
    </row>
    <row r="30" spans="1:9" ht="15" customHeight="1" x14ac:dyDescent="0.25">
      <c r="A30" s="109" t="s">
        <v>1050</v>
      </c>
      <c r="B30" s="109" t="s">
        <v>1051</v>
      </c>
      <c r="C30" s="110">
        <v>0</v>
      </c>
      <c r="D30" s="110">
        <v>0</v>
      </c>
      <c r="E30" s="110">
        <v>0</v>
      </c>
      <c r="F30" s="110">
        <v>0</v>
      </c>
      <c r="G30" s="110">
        <v>0</v>
      </c>
      <c r="H30" s="110">
        <f>Transfers!$C$52</f>
        <v>0</v>
      </c>
      <c r="I30" s="108"/>
    </row>
    <row r="31" spans="1:9" ht="15" customHeight="1" x14ac:dyDescent="0.25">
      <c r="A31" s="109" t="s">
        <v>1052</v>
      </c>
      <c r="B31" s="109" t="s">
        <v>1053</v>
      </c>
      <c r="C31" s="110">
        <v>0</v>
      </c>
      <c r="D31" s="110">
        <v>0</v>
      </c>
      <c r="E31" s="110">
        <v>0</v>
      </c>
      <c r="F31" s="110">
        <v>0</v>
      </c>
      <c r="G31" s="110">
        <v>0</v>
      </c>
      <c r="H31" s="110">
        <f>Transfers!$C$67</f>
        <v>0</v>
      </c>
      <c r="I31" s="108"/>
    </row>
    <row r="32" spans="1:9" ht="15" customHeight="1" x14ac:dyDescent="0.25">
      <c r="A32" s="109" t="s">
        <v>1054</v>
      </c>
      <c r="B32" s="109" t="s">
        <v>1055</v>
      </c>
      <c r="C32" s="110">
        <v>6838.6</v>
      </c>
      <c r="D32" s="110">
        <v>18215.52</v>
      </c>
      <c r="E32" s="110">
        <v>18215.52</v>
      </c>
      <c r="F32" s="110">
        <v>0</v>
      </c>
      <c r="G32" s="110">
        <v>0</v>
      </c>
      <c r="H32" s="110">
        <f>Transfers!$C$168</f>
        <v>0</v>
      </c>
      <c r="I32" s="108"/>
    </row>
    <row r="33" spans="1:9" x14ac:dyDescent="0.25">
      <c r="A33" s="109" t="s">
        <v>1056</v>
      </c>
      <c r="B33" s="109" t="s">
        <v>1057</v>
      </c>
      <c r="C33" s="110">
        <v>0</v>
      </c>
      <c r="D33" s="110">
        <v>0</v>
      </c>
      <c r="E33" s="110">
        <v>0</v>
      </c>
      <c r="F33" s="110">
        <v>0</v>
      </c>
      <c r="G33" s="110">
        <v>0</v>
      </c>
      <c r="H33" s="110">
        <f>Transfers!$C$169</f>
        <v>0</v>
      </c>
      <c r="I33" s="108"/>
    </row>
    <row r="34" spans="1:9" ht="15" customHeight="1" x14ac:dyDescent="0.25">
      <c r="A34" s="109" t="s">
        <v>1058</v>
      </c>
      <c r="B34" s="109" t="s">
        <v>1059</v>
      </c>
      <c r="C34" s="110">
        <v>212959.25</v>
      </c>
      <c r="D34" s="110">
        <v>60537.73</v>
      </c>
      <c r="E34" s="110">
        <v>127065.67</v>
      </c>
      <c r="F34" s="110">
        <v>905000</v>
      </c>
      <c r="G34" s="110">
        <v>905000</v>
      </c>
      <c r="H34" s="110">
        <f>Transfers!$C$26</f>
        <v>0</v>
      </c>
      <c r="I34" s="108"/>
    </row>
    <row r="35" spans="1:9" ht="15" customHeight="1" x14ac:dyDescent="0.25">
      <c r="A35" s="1" t="s">
        <v>1060</v>
      </c>
      <c r="B35" s="1" t="s">
        <v>2</v>
      </c>
      <c r="C35" s="4">
        <v>219797.85</v>
      </c>
      <c r="D35" s="4">
        <v>78753.25</v>
      </c>
      <c r="E35" s="4">
        <f>SUM(E30:E34)</f>
        <v>145281.19</v>
      </c>
      <c r="F35" s="4">
        <f>SUM(F30:F34)</f>
        <v>905000</v>
      </c>
      <c r="G35" s="6">
        <f>SUM(G30:G34)</f>
        <v>905000</v>
      </c>
      <c r="H35" s="6">
        <f>SUM(H30:H34)</f>
        <v>0</v>
      </c>
    </row>
    <row r="36" spans="1:9" ht="15" customHeight="1" x14ac:dyDescent="0.25">
      <c r="A36" s="291" t="s">
        <v>2726</v>
      </c>
      <c r="B36" s="291"/>
      <c r="C36" s="294">
        <f>C7+C28-C35</f>
        <v>1360447.9799999997</v>
      </c>
      <c r="D36" s="294">
        <f t="shared" ref="D36:H36" si="2">D7+D28-D35</f>
        <v>1420307.49</v>
      </c>
      <c r="E36" s="294">
        <f t="shared" si="2"/>
        <v>1563511.67</v>
      </c>
      <c r="F36" s="294">
        <f t="shared" si="2"/>
        <v>919907.82000000007</v>
      </c>
      <c r="G36" s="294">
        <f t="shared" si="2"/>
        <v>855447.98</v>
      </c>
      <c r="H36" s="294">
        <f t="shared" si="2"/>
        <v>1320407.82</v>
      </c>
      <c r="I36" s="294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68ED8-D610-4F45-8190-45BD9414BD96}">
  <sheetPr>
    <tabColor rgb="FF92D050"/>
  </sheetPr>
  <dimension ref="A1:F26"/>
  <sheetViews>
    <sheetView workbookViewId="0">
      <selection activeCell="C5" sqref="C5"/>
    </sheetView>
  </sheetViews>
  <sheetFormatPr defaultColWidth="9.140625" defaultRowHeight="15" x14ac:dyDescent="0.25"/>
  <cols>
    <col min="1" max="1" width="9.140625" style="309"/>
    <col min="2" max="3" width="26" style="94" customWidth="1"/>
    <col min="4" max="4" width="11.5703125" style="94" bestFit="1" customWidth="1"/>
    <col min="5" max="16384" width="9.140625" style="94"/>
  </cols>
  <sheetData>
    <row r="1" spans="1:6" x14ac:dyDescent="0.25">
      <c r="B1" s="100" t="s">
        <v>3515</v>
      </c>
      <c r="C1" s="100"/>
    </row>
    <row r="2" spans="1:6" x14ac:dyDescent="0.25">
      <c r="B2" s="94" t="s">
        <v>3516</v>
      </c>
    </row>
    <row r="3" spans="1:6" x14ac:dyDescent="0.25">
      <c r="A3" s="310"/>
      <c r="B3" s="310"/>
      <c r="C3" s="310"/>
      <c r="D3" s="310"/>
      <c r="E3" s="310"/>
      <c r="F3" s="310"/>
    </row>
    <row r="4" spans="1:6" x14ac:dyDescent="0.25">
      <c r="A4" s="310"/>
      <c r="B4" s="311" t="s">
        <v>3517</v>
      </c>
      <c r="C4" s="311" t="s">
        <v>1</v>
      </c>
      <c r="D4" s="311" t="s">
        <v>3518</v>
      </c>
      <c r="E4" s="312"/>
      <c r="F4" s="310"/>
    </row>
    <row r="5" spans="1:6" x14ac:dyDescent="0.25">
      <c r="A5" s="310"/>
      <c r="B5" s="313" t="s">
        <v>14</v>
      </c>
      <c r="C5" s="313" t="s">
        <v>3534</v>
      </c>
      <c r="D5" s="314">
        <v>6154.6495312499992</v>
      </c>
      <c r="E5" s="315"/>
      <c r="F5" s="310"/>
    </row>
    <row r="6" spans="1:6" x14ac:dyDescent="0.25">
      <c r="A6" s="310"/>
      <c r="B6" s="313" t="s">
        <v>40</v>
      </c>
      <c r="C6" s="313" t="s">
        <v>3533</v>
      </c>
      <c r="D6" s="316">
        <v>7206.8408724385226</v>
      </c>
      <c r="E6" s="315"/>
      <c r="F6" s="310"/>
    </row>
    <row r="7" spans="1:6" x14ac:dyDescent="0.25">
      <c r="A7" s="310"/>
      <c r="B7" s="313" t="s">
        <v>93</v>
      </c>
      <c r="C7" s="313" t="s">
        <v>3532</v>
      </c>
      <c r="D7" s="316">
        <v>3163.7404026639333</v>
      </c>
      <c r="E7" s="315"/>
      <c r="F7" s="310"/>
    </row>
    <row r="8" spans="1:6" x14ac:dyDescent="0.25">
      <c r="A8" s="310"/>
      <c r="B8" s="313" t="s">
        <v>118</v>
      </c>
      <c r="C8" s="313" t="s">
        <v>3531</v>
      </c>
      <c r="D8" s="316">
        <v>12658.640268442623</v>
      </c>
      <c r="E8" s="315"/>
      <c r="F8" s="310"/>
    </row>
    <row r="9" spans="1:6" x14ac:dyDescent="0.25">
      <c r="A9" s="310"/>
      <c r="B9" s="313" t="s">
        <v>135</v>
      </c>
      <c r="C9" s="313" t="s">
        <v>3530</v>
      </c>
      <c r="D9" s="316">
        <v>6583.4288992827851</v>
      </c>
      <c r="E9" s="315"/>
      <c r="F9" s="310"/>
    </row>
    <row r="10" spans="1:6" x14ac:dyDescent="0.25">
      <c r="A10" s="310"/>
      <c r="B10" s="313" t="s">
        <v>165</v>
      </c>
      <c r="C10" s="313" t="s">
        <v>3548</v>
      </c>
      <c r="D10" s="316">
        <v>5198.2202684426229</v>
      </c>
      <c r="E10" s="315"/>
      <c r="F10" s="310"/>
    </row>
    <row r="11" spans="1:6" x14ac:dyDescent="0.25">
      <c r="A11" s="310"/>
      <c r="B11" s="313" t="s">
        <v>197</v>
      </c>
      <c r="C11" s="313" t="s">
        <v>3529</v>
      </c>
      <c r="D11" s="316">
        <v>8001.5895939036855</v>
      </c>
      <c r="E11" s="315"/>
      <c r="F11" s="310"/>
    </row>
    <row r="12" spans="1:6" x14ac:dyDescent="0.25">
      <c r="A12" s="310"/>
      <c r="B12" s="313" t="s">
        <v>373</v>
      </c>
      <c r="C12" s="313" t="s">
        <v>3528</v>
      </c>
      <c r="D12" s="316">
        <v>97215.149395491782</v>
      </c>
      <c r="E12" s="315"/>
      <c r="F12" s="310"/>
    </row>
    <row r="13" spans="1:6" x14ac:dyDescent="0.25">
      <c r="A13" s="310"/>
      <c r="B13" s="313" t="s">
        <v>427</v>
      </c>
      <c r="C13" s="313" t="s">
        <v>3527</v>
      </c>
      <c r="D13" s="316">
        <v>1067.7401342213111</v>
      </c>
      <c r="E13" s="315"/>
      <c r="F13" s="310"/>
    </row>
    <row r="14" spans="1:6" x14ac:dyDescent="0.25">
      <c r="A14" s="310"/>
      <c r="B14" s="313" t="s">
        <v>467</v>
      </c>
      <c r="C14" s="313" t="s">
        <v>3526</v>
      </c>
      <c r="D14" s="316">
        <v>14695.115805327867</v>
      </c>
      <c r="E14" s="315"/>
      <c r="F14" s="310"/>
    </row>
    <row r="15" spans="1:6" x14ac:dyDescent="0.25">
      <c r="A15" s="310"/>
      <c r="B15" s="313" t="s">
        <v>546</v>
      </c>
      <c r="C15" s="313" t="s">
        <v>3525</v>
      </c>
      <c r="D15" s="316">
        <v>2169.7561966290978</v>
      </c>
      <c r="E15" s="315"/>
      <c r="F15" s="310"/>
    </row>
    <row r="16" spans="1:6" x14ac:dyDescent="0.25">
      <c r="A16" s="310"/>
      <c r="B16" s="313" t="s">
        <v>599</v>
      </c>
      <c r="C16" s="313" t="s">
        <v>3524</v>
      </c>
      <c r="D16" s="316">
        <v>1513.3699053586063</v>
      </c>
      <c r="E16" s="315"/>
      <c r="F16" s="310"/>
    </row>
    <row r="17" spans="1:6" x14ac:dyDescent="0.25">
      <c r="A17" s="310"/>
      <c r="B17" s="313" t="s">
        <v>672</v>
      </c>
      <c r="C17" s="313" t="s">
        <v>3523</v>
      </c>
      <c r="D17" s="316">
        <v>25334.834004308403</v>
      </c>
      <c r="E17" s="315"/>
      <c r="F17" s="310"/>
    </row>
    <row r="18" spans="1:6" x14ac:dyDescent="0.25">
      <c r="A18" s="310"/>
      <c r="B18" s="313" t="s">
        <v>909</v>
      </c>
      <c r="C18" s="313" t="s">
        <v>3522</v>
      </c>
      <c r="D18" s="316">
        <v>6524.2466163985628</v>
      </c>
      <c r="E18" s="315"/>
      <c r="F18" s="310"/>
    </row>
    <row r="19" spans="1:6" x14ac:dyDescent="0.25">
      <c r="A19" s="310"/>
      <c r="B19" s="313" t="s">
        <v>1284</v>
      </c>
      <c r="C19" s="313" t="s">
        <v>3521</v>
      </c>
      <c r="D19" s="316">
        <v>28399.325909671101</v>
      </c>
      <c r="E19" s="315"/>
      <c r="F19" s="310"/>
    </row>
    <row r="20" spans="1:6" x14ac:dyDescent="0.25">
      <c r="A20" s="310"/>
      <c r="B20" s="313" t="s">
        <v>1480</v>
      </c>
      <c r="C20" s="313" t="s">
        <v>3520</v>
      </c>
      <c r="D20" s="316">
        <v>25133.298240092216</v>
      </c>
      <c r="E20" s="315"/>
      <c r="F20" s="310"/>
    </row>
    <row r="21" spans="1:6" x14ac:dyDescent="0.25">
      <c r="A21" s="310"/>
      <c r="B21" s="313" t="s">
        <v>1727</v>
      </c>
      <c r="C21" s="313" t="s">
        <v>3519</v>
      </c>
      <c r="D21" s="316">
        <v>17868.279769171102</v>
      </c>
      <c r="E21" s="315"/>
      <c r="F21" s="310"/>
    </row>
    <row r="22" spans="1:6" x14ac:dyDescent="0.25">
      <c r="A22" s="310"/>
      <c r="B22" s="313" t="s">
        <v>1918</v>
      </c>
      <c r="C22" s="313" t="s">
        <v>4182</v>
      </c>
      <c r="D22" s="316">
        <v>1359.8441869057374</v>
      </c>
      <c r="E22" s="315"/>
      <c r="F22" s="310"/>
    </row>
    <row r="23" spans="1:6" x14ac:dyDescent="0.25">
      <c r="A23" s="310"/>
      <c r="B23" s="312"/>
      <c r="C23" s="312"/>
      <c r="D23" s="317">
        <f>SUM(D5:D22)</f>
        <v>270248.06999999995</v>
      </c>
      <c r="E23" s="312"/>
      <c r="F23" s="310"/>
    </row>
    <row r="24" spans="1:6" x14ac:dyDescent="0.25">
      <c r="A24" s="310"/>
      <c r="B24" s="312"/>
      <c r="C24" s="312"/>
      <c r="D24" s="312"/>
      <c r="E24" s="312"/>
      <c r="F24" s="310"/>
    </row>
    <row r="25" spans="1:6" x14ac:dyDescent="0.25">
      <c r="A25" s="310"/>
      <c r="B25" s="310"/>
      <c r="C25" s="310"/>
      <c r="D25" s="310"/>
      <c r="E25" s="310"/>
      <c r="F25" s="310"/>
    </row>
    <row r="26" spans="1:6" x14ac:dyDescent="0.25">
      <c r="A26" s="310"/>
      <c r="B26" s="310"/>
      <c r="C26" s="310"/>
      <c r="D26" s="310"/>
      <c r="E26" s="310"/>
      <c r="F26" s="31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59641-E6DA-457C-A683-6A9F79EAE088}">
  <sheetPr>
    <tabColor rgb="FF92D050"/>
    <pageSetUpPr fitToPage="1"/>
  </sheetPr>
  <dimension ref="A1:M29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4018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H7-F29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2727</v>
      </c>
      <c r="B7" s="291"/>
      <c r="C7" s="294">
        <v>8247.19</v>
      </c>
      <c r="D7" s="294">
        <v>5259.25</v>
      </c>
      <c r="E7" s="294">
        <v>5259.25</v>
      </c>
      <c r="F7" s="294">
        <v>5259.25</v>
      </c>
      <c r="G7" s="294">
        <v>5259.25</v>
      </c>
      <c r="H7" s="294">
        <f>F29</f>
        <v>4343.2900000000009</v>
      </c>
      <c r="I7" s="294"/>
    </row>
    <row r="8" spans="1:13" x14ac:dyDescent="0.25">
      <c r="A8" s="23" t="s">
        <v>1061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2102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ht="24" x14ac:dyDescent="0.25">
      <c r="A11" s="23" t="s">
        <v>2160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2728</v>
      </c>
      <c r="B12" s="30" t="s">
        <v>2729</v>
      </c>
      <c r="C12" s="31">
        <v>4826.3999999999996</v>
      </c>
      <c r="D12" s="31">
        <v>2592.2600000000002</v>
      </c>
      <c r="E12" s="31">
        <v>3971.18</v>
      </c>
      <c r="F12" s="31">
        <f>E12/9*12</f>
        <v>5294.9066666666668</v>
      </c>
      <c r="G12" s="31">
        <v>5345</v>
      </c>
      <c r="H12" s="31">
        <f>Income!$D$70</f>
        <v>5749</v>
      </c>
      <c r="I12" s="29"/>
    </row>
    <row r="13" spans="1:13" x14ac:dyDescent="0.25">
      <c r="A13" s="30" t="s">
        <v>2730</v>
      </c>
      <c r="B13" s="30" t="s">
        <v>2731</v>
      </c>
      <c r="C13" s="31">
        <v>17185.66</v>
      </c>
      <c r="D13" s="31">
        <v>9213.41</v>
      </c>
      <c r="E13" s="31">
        <v>14091.85</v>
      </c>
      <c r="F13" s="31">
        <f>E13/9*12</f>
        <v>18789.133333333335</v>
      </c>
      <c r="G13" s="31">
        <v>18935</v>
      </c>
      <c r="H13" s="31">
        <f>Income!$D$73</f>
        <v>20282</v>
      </c>
      <c r="I13" s="29"/>
    </row>
    <row r="14" spans="1:13" ht="24" x14ac:dyDescent="0.25">
      <c r="A14" s="23" t="s">
        <v>2171</v>
      </c>
      <c r="B14" s="23" t="s">
        <v>2</v>
      </c>
      <c r="C14" s="32">
        <v>22012.06</v>
      </c>
      <c r="D14" s="32">
        <v>11805.67</v>
      </c>
      <c r="E14" s="32">
        <f>SUM(E12:E13)</f>
        <v>18063.03</v>
      </c>
      <c r="F14" s="32">
        <f>SUM(F12:F13)</f>
        <v>24084.04</v>
      </c>
      <c r="G14" s="32">
        <f>SUM(G12:G13)</f>
        <v>24280</v>
      </c>
      <c r="H14" s="32">
        <f>SUM(H12:H13)</f>
        <v>26031</v>
      </c>
      <c r="I14" s="29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29"/>
    </row>
    <row r="16" spans="1:13" x14ac:dyDescent="0.25">
      <c r="A16" s="23" t="s">
        <v>2175</v>
      </c>
      <c r="B16" s="23" t="s">
        <v>2</v>
      </c>
      <c r="C16" s="29"/>
      <c r="D16" s="29"/>
      <c r="E16" s="29"/>
      <c r="F16" s="29"/>
      <c r="G16" s="29"/>
      <c r="H16" s="29"/>
      <c r="I16" s="29"/>
    </row>
    <row r="17" spans="1:9" x14ac:dyDescent="0.25">
      <c r="A17" s="23" t="s">
        <v>2176</v>
      </c>
      <c r="B17" s="23" t="s">
        <v>2</v>
      </c>
      <c r="C17" s="29"/>
      <c r="D17" s="29"/>
      <c r="E17" s="29"/>
      <c r="F17" s="29"/>
      <c r="G17" s="29"/>
      <c r="H17" s="29"/>
      <c r="I17" s="29"/>
    </row>
    <row r="18" spans="1:9" x14ac:dyDescent="0.25">
      <c r="A18" s="23" t="s">
        <v>2570</v>
      </c>
      <c r="B18" s="23" t="s">
        <v>2</v>
      </c>
      <c r="C18" s="29"/>
      <c r="D18" s="29"/>
      <c r="E18" s="29"/>
      <c r="F18" s="29"/>
      <c r="G18" s="29"/>
      <c r="H18" s="29"/>
      <c r="I18" s="29"/>
    </row>
    <row r="19" spans="1:9" x14ac:dyDescent="0.25">
      <c r="A19" s="30" t="s">
        <v>2732</v>
      </c>
      <c r="B19" s="30" t="s">
        <v>2409</v>
      </c>
      <c r="C19" s="31">
        <v>0</v>
      </c>
      <c r="D19" s="31">
        <v>0</v>
      </c>
      <c r="E19" s="31">
        <v>0</v>
      </c>
      <c r="F19" s="31">
        <f>E19/9*12</f>
        <v>0</v>
      </c>
      <c r="G19" s="31">
        <v>0</v>
      </c>
      <c r="H19" s="31">
        <v>0</v>
      </c>
      <c r="I19" s="29"/>
    </row>
    <row r="20" spans="1:9" x14ac:dyDescent="0.25">
      <c r="A20" s="23" t="s">
        <v>2564</v>
      </c>
      <c r="B20" s="23" t="s">
        <v>2</v>
      </c>
      <c r="C20" s="32">
        <v>0</v>
      </c>
      <c r="D20" s="32">
        <v>0</v>
      </c>
      <c r="E20" s="32">
        <f>E19</f>
        <v>0</v>
      </c>
      <c r="F20" s="32">
        <f>F19</f>
        <v>0</v>
      </c>
      <c r="G20" s="32">
        <f>SUM(G19)</f>
        <v>0</v>
      </c>
      <c r="H20" s="32">
        <f>SUM(H19)</f>
        <v>0</v>
      </c>
      <c r="I20" s="29"/>
    </row>
    <row r="21" spans="1:9" x14ac:dyDescent="0.25">
      <c r="A21" s="23" t="s">
        <v>2</v>
      </c>
      <c r="B21" s="23" t="s">
        <v>2</v>
      </c>
      <c r="C21" s="23" t="s">
        <v>2</v>
      </c>
      <c r="D21" s="23" t="s">
        <v>2</v>
      </c>
      <c r="E21" s="23"/>
      <c r="F21" s="23"/>
      <c r="G21" s="23" t="s">
        <v>2</v>
      </c>
      <c r="H21" s="23" t="s">
        <v>2</v>
      </c>
      <c r="I21" s="29"/>
    </row>
    <row r="22" spans="1:9" x14ac:dyDescent="0.25">
      <c r="A22" s="23" t="s">
        <v>2047</v>
      </c>
      <c r="B22" s="23" t="s">
        <v>2</v>
      </c>
      <c r="C22" s="32">
        <v>22012.06</v>
      </c>
      <c r="D22" s="32">
        <v>11805.67</v>
      </c>
      <c r="E22" s="32">
        <f>E14+E20</f>
        <v>18063.03</v>
      </c>
      <c r="F22" s="32">
        <f>F14+F20</f>
        <v>24084.04</v>
      </c>
      <c r="G22" s="32">
        <f>G14+G20</f>
        <v>24280</v>
      </c>
      <c r="H22" s="32">
        <f>H14+H20</f>
        <v>26031</v>
      </c>
      <c r="I22" s="29"/>
    </row>
    <row r="23" spans="1:9" ht="15" customHeight="1" x14ac:dyDescent="0.25">
      <c r="A23" s="1" t="s">
        <v>740</v>
      </c>
      <c r="B23" s="1" t="s">
        <v>2</v>
      </c>
    </row>
    <row r="24" spans="1:9" ht="15" customHeight="1" x14ac:dyDescent="0.25">
      <c r="A24" s="1" t="s">
        <v>706</v>
      </c>
      <c r="B24" s="1" t="s">
        <v>2</v>
      </c>
    </row>
    <row r="25" spans="1:9" ht="15" customHeight="1" x14ac:dyDescent="0.25">
      <c r="A25" s="109" t="s">
        <v>1062</v>
      </c>
      <c r="B25" s="109" t="s">
        <v>742</v>
      </c>
      <c r="C25" s="110">
        <v>25000</v>
      </c>
      <c r="D25" s="110">
        <v>0</v>
      </c>
      <c r="E25" s="110">
        <v>0</v>
      </c>
      <c r="F25" s="110">
        <v>25000</v>
      </c>
      <c r="G25" s="110">
        <v>25000</v>
      </c>
      <c r="H25" s="110">
        <f>Transfers!$C$11</f>
        <v>25000</v>
      </c>
      <c r="I25" s="108"/>
    </row>
    <row r="26" spans="1:9" ht="15" customHeight="1" x14ac:dyDescent="0.25">
      <c r="A26" s="1" t="s">
        <v>737</v>
      </c>
      <c r="B26" s="1" t="s">
        <v>2</v>
      </c>
      <c r="C26" s="4">
        <v>25000</v>
      </c>
      <c r="D26" s="4">
        <v>0</v>
      </c>
      <c r="E26" s="4">
        <f>E25</f>
        <v>0</v>
      </c>
      <c r="F26" s="4">
        <f>F25</f>
        <v>25000</v>
      </c>
      <c r="G26" s="6">
        <f>SUM(G25)</f>
        <v>25000</v>
      </c>
      <c r="H26" s="6">
        <f>SUM(H25)</f>
        <v>25000</v>
      </c>
    </row>
    <row r="27" spans="1:9" x14ac:dyDescent="0.25">
      <c r="A27" s="1" t="s">
        <v>2</v>
      </c>
      <c r="B27" s="1" t="s">
        <v>2</v>
      </c>
      <c r="C27" s="1" t="s">
        <v>2</v>
      </c>
      <c r="D27" s="1" t="s">
        <v>2</v>
      </c>
      <c r="E27" s="1"/>
      <c r="F27" s="1"/>
      <c r="G27" s="1" t="s">
        <v>2</v>
      </c>
      <c r="H27" s="1" t="s">
        <v>2</v>
      </c>
    </row>
    <row r="28" spans="1:9" ht="15" customHeight="1" x14ac:dyDescent="0.25">
      <c r="A28" s="1" t="s">
        <v>1063</v>
      </c>
      <c r="B28" s="1" t="s">
        <v>2</v>
      </c>
      <c r="C28" s="4">
        <v>25000</v>
      </c>
      <c r="D28" s="4">
        <v>0</v>
      </c>
      <c r="E28" s="4">
        <f>E26</f>
        <v>0</v>
      </c>
      <c r="F28" s="4">
        <f>F26</f>
        <v>25000</v>
      </c>
      <c r="G28" s="6">
        <f>G26</f>
        <v>25000</v>
      </c>
      <c r="H28" s="6">
        <f>H26</f>
        <v>25000</v>
      </c>
    </row>
    <row r="29" spans="1:9" ht="15" customHeight="1" x14ac:dyDescent="0.25">
      <c r="A29" s="291" t="s">
        <v>2733</v>
      </c>
      <c r="B29" s="291"/>
      <c r="C29" s="294">
        <f>C7+C22-C28</f>
        <v>5259.25</v>
      </c>
      <c r="D29" s="294">
        <f t="shared" ref="D29:H29" si="0">D7+D22-D28</f>
        <v>17064.919999999998</v>
      </c>
      <c r="E29" s="294">
        <f t="shared" si="0"/>
        <v>23322.28</v>
      </c>
      <c r="F29" s="294">
        <f t="shared" si="0"/>
        <v>4343.2900000000009</v>
      </c>
      <c r="G29" s="294">
        <f t="shared" si="0"/>
        <v>4539.25</v>
      </c>
      <c r="H29" s="294">
        <f t="shared" si="0"/>
        <v>5374.2900000000009</v>
      </c>
      <c r="I29" s="291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5FAAD-E679-4675-B5D5-8BEDECC0111D}">
  <sheetPr>
    <tabColor rgb="FF92D050"/>
    <pageSetUpPr fitToPage="1"/>
  </sheetPr>
  <dimension ref="A1:M24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4017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H7-F24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2734</v>
      </c>
      <c r="B7" s="291"/>
      <c r="C7" s="294">
        <v>116792.05</v>
      </c>
      <c r="D7" s="294">
        <v>182620.85</v>
      </c>
      <c r="E7" s="294">
        <v>182620.85</v>
      </c>
      <c r="F7" s="294">
        <v>182620.85</v>
      </c>
      <c r="G7" s="294">
        <v>182620.85</v>
      </c>
      <c r="H7" s="294">
        <f>F24</f>
        <v>299724.23666666658</v>
      </c>
      <c r="I7" s="291"/>
    </row>
    <row r="8" spans="1:13" x14ac:dyDescent="0.25">
      <c r="A8" s="23" t="s">
        <v>1064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2027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30" t="s">
        <v>2735</v>
      </c>
      <c r="B11" s="30" t="s">
        <v>2736</v>
      </c>
      <c r="C11" s="31">
        <v>335828.8</v>
      </c>
      <c r="D11" s="31">
        <v>152774.37</v>
      </c>
      <c r="E11" s="31">
        <v>290327.53999999998</v>
      </c>
      <c r="F11" s="31">
        <f>E11/9*12</f>
        <v>387103.3866666666</v>
      </c>
      <c r="G11" s="31">
        <v>260000</v>
      </c>
      <c r="H11" s="31">
        <f>Income!O102</f>
        <v>262500</v>
      </c>
      <c r="I11" s="29"/>
    </row>
    <row r="12" spans="1:13" x14ac:dyDescent="0.25">
      <c r="A12" s="23" t="s">
        <v>2046</v>
      </c>
      <c r="B12" s="23" t="s">
        <v>2</v>
      </c>
      <c r="C12" s="32">
        <v>335828.8</v>
      </c>
      <c r="D12" s="32">
        <v>152774.37</v>
      </c>
      <c r="E12" s="32">
        <f>E11</f>
        <v>290327.53999999998</v>
      </c>
      <c r="F12" s="32">
        <f>F11</f>
        <v>387103.3866666666</v>
      </c>
      <c r="G12" s="32">
        <f>SUM(G11)</f>
        <v>260000</v>
      </c>
      <c r="H12" s="32">
        <f>SUM(H11)</f>
        <v>262500</v>
      </c>
      <c r="I12" s="60"/>
    </row>
    <row r="13" spans="1:13" x14ac:dyDescent="0.25">
      <c r="A13" s="23" t="s">
        <v>2</v>
      </c>
      <c r="B13" s="23" t="s">
        <v>2</v>
      </c>
      <c r="C13" s="23" t="s">
        <v>2</v>
      </c>
      <c r="D13" s="23" t="s">
        <v>2</v>
      </c>
      <c r="E13" s="23"/>
      <c r="F13" s="23"/>
      <c r="G13" s="23" t="s">
        <v>2</v>
      </c>
      <c r="H13" s="23" t="s">
        <v>2</v>
      </c>
      <c r="I13" s="29"/>
    </row>
    <row r="14" spans="1:13" x14ac:dyDescent="0.25">
      <c r="A14" s="23" t="s">
        <v>2175</v>
      </c>
      <c r="B14" s="23" t="s">
        <v>2</v>
      </c>
      <c r="C14" s="29"/>
      <c r="D14" s="29"/>
      <c r="E14" s="29"/>
      <c r="F14" s="29"/>
      <c r="G14" s="29"/>
      <c r="H14" s="29"/>
      <c r="I14" s="29"/>
    </row>
    <row r="15" spans="1:13" x14ac:dyDescent="0.25">
      <c r="A15" s="23" t="s">
        <v>2176</v>
      </c>
      <c r="B15" s="23" t="s">
        <v>2</v>
      </c>
      <c r="C15" s="29"/>
      <c r="D15" s="29"/>
      <c r="E15" s="29"/>
      <c r="F15" s="29"/>
      <c r="G15" s="29"/>
      <c r="H15" s="29"/>
      <c r="I15" s="29"/>
    </row>
    <row r="16" spans="1:13" x14ac:dyDescent="0.25">
      <c r="A16" s="23" t="s">
        <v>2570</v>
      </c>
      <c r="B16" s="23" t="s">
        <v>2</v>
      </c>
      <c r="C16" s="29"/>
      <c r="D16" s="29"/>
      <c r="E16" s="29"/>
      <c r="F16" s="29"/>
      <c r="G16" s="29"/>
      <c r="H16" s="29"/>
      <c r="I16" s="29"/>
    </row>
    <row r="17" spans="1:9" x14ac:dyDescent="0.25">
      <c r="A17" s="30" t="s">
        <v>2737</v>
      </c>
      <c r="B17" s="30" t="s">
        <v>2409</v>
      </c>
      <c r="C17" s="31">
        <v>0</v>
      </c>
      <c r="D17" s="31">
        <v>0</v>
      </c>
      <c r="E17" s="31">
        <v>0</v>
      </c>
      <c r="F17" s="31">
        <f>E17/9*12</f>
        <v>0</v>
      </c>
      <c r="G17" s="31">
        <v>0</v>
      </c>
      <c r="H17" s="31">
        <v>0</v>
      </c>
      <c r="I17" s="29"/>
    </row>
    <row r="18" spans="1:9" x14ac:dyDescent="0.25">
      <c r="A18" s="23" t="s">
        <v>2564</v>
      </c>
      <c r="B18" s="23" t="s">
        <v>2</v>
      </c>
      <c r="C18" s="32">
        <v>0</v>
      </c>
      <c r="D18" s="32">
        <v>0</v>
      </c>
      <c r="E18" s="32">
        <f>E17</f>
        <v>0</v>
      </c>
      <c r="F18" s="32">
        <f>F17</f>
        <v>0</v>
      </c>
      <c r="G18" s="32">
        <f>SUM(G17)</f>
        <v>0</v>
      </c>
      <c r="H18" s="32">
        <f>SUM(H17)</f>
        <v>0</v>
      </c>
      <c r="I18" s="29"/>
    </row>
    <row r="19" spans="1:9" x14ac:dyDescent="0.25">
      <c r="A19" s="23" t="s">
        <v>2</v>
      </c>
      <c r="B19" s="23" t="s">
        <v>2</v>
      </c>
      <c r="C19" s="23" t="s">
        <v>2</v>
      </c>
      <c r="D19" s="23" t="s">
        <v>2</v>
      </c>
      <c r="E19" s="23"/>
      <c r="F19" s="23"/>
      <c r="G19" s="23" t="s">
        <v>2</v>
      </c>
      <c r="H19" s="23" t="s">
        <v>2</v>
      </c>
      <c r="I19" s="29"/>
    </row>
    <row r="20" spans="1:9" x14ac:dyDescent="0.25">
      <c r="A20" s="23" t="s">
        <v>2047</v>
      </c>
      <c r="B20" s="23" t="s">
        <v>2</v>
      </c>
      <c r="C20" s="32">
        <v>335828.8</v>
      </c>
      <c r="D20" s="32">
        <v>152774.37</v>
      </c>
      <c r="E20" s="32">
        <f>E12+E18</f>
        <v>290327.53999999998</v>
      </c>
      <c r="F20" s="32">
        <f>F12+F18</f>
        <v>387103.3866666666</v>
      </c>
      <c r="G20" s="32">
        <f>G12+G18</f>
        <v>260000</v>
      </c>
      <c r="H20" s="32">
        <f>H12+H18</f>
        <v>262500</v>
      </c>
      <c r="I20" s="29"/>
    </row>
    <row r="21" spans="1:9" ht="15" customHeight="1" x14ac:dyDescent="0.25">
      <c r="A21" s="1" t="s">
        <v>740</v>
      </c>
      <c r="B21" s="1" t="s">
        <v>2</v>
      </c>
      <c r="C21" s="40"/>
    </row>
    <row r="22" spans="1:9" ht="15" customHeight="1" x14ac:dyDescent="0.25">
      <c r="A22" s="109" t="s">
        <v>1065</v>
      </c>
      <c r="B22" s="109" t="s">
        <v>1066</v>
      </c>
      <c r="C22" s="110">
        <v>270000</v>
      </c>
      <c r="D22" s="110">
        <v>0</v>
      </c>
      <c r="E22" s="110">
        <v>0</v>
      </c>
      <c r="F22" s="110">
        <v>270000</v>
      </c>
      <c r="G22" s="110">
        <v>270000</v>
      </c>
      <c r="H22" s="110">
        <f>Transfers!$C$5</f>
        <v>400000</v>
      </c>
      <c r="I22" s="108"/>
    </row>
    <row r="23" spans="1:9" ht="15" customHeight="1" x14ac:dyDescent="0.25">
      <c r="A23" s="1" t="s">
        <v>1067</v>
      </c>
      <c r="B23" s="1" t="s">
        <v>2</v>
      </c>
      <c r="C23" s="4">
        <v>270000</v>
      </c>
      <c r="D23" s="4">
        <v>0</v>
      </c>
      <c r="E23" s="4">
        <f>E22</f>
        <v>0</v>
      </c>
      <c r="F23" s="4">
        <f>F22</f>
        <v>270000</v>
      </c>
      <c r="G23" s="6">
        <f>SUM(G22)</f>
        <v>270000</v>
      </c>
      <c r="H23" s="6">
        <f>SUM(H22)</f>
        <v>400000</v>
      </c>
    </row>
    <row r="24" spans="1:9" ht="15" customHeight="1" x14ac:dyDescent="0.25">
      <c r="A24" s="291" t="s">
        <v>2738</v>
      </c>
      <c r="B24" s="291"/>
      <c r="C24" s="294">
        <f>C7+C20-C23</f>
        <v>182620.84999999998</v>
      </c>
      <c r="D24" s="294">
        <f t="shared" ref="D24:H24" si="0">D7+D20-D23</f>
        <v>335395.21999999997</v>
      </c>
      <c r="E24" s="294">
        <f t="shared" si="0"/>
        <v>472948.39</v>
      </c>
      <c r="F24" s="294">
        <f>F7+F20-F23</f>
        <v>299724.23666666658</v>
      </c>
      <c r="G24" s="294">
        <f t="shared" si="0"/>
        <v>172620.84999999998</v>
      </c>
      <c r="H24" s="294">
        <f t="shared" si="0"/>
        <v>162224.23666666658</v>
      </c>
      <c r="I24" s="291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7FB3-4136-4FAE-ABF1-293C5C6DB815}">
  <sheetPr>
    <tabColor rgb="FF92D050"/>
    <pageSetUpPr fitToPage="1"/>
  </sheetPr>
  <dimension ref="A1:M29"/>
  <sheetViews>
    <sheetView showGridLines="0" zoomScaleNormal="100" workbookViewId="0">
      <pane ySplit="5" topLeftCell="A8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4016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H7-F29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2739</v>
      </c>
      <c r="B7" s="291"/>
      <c r="C7" s="294">
        <v>1220230.1399999999</v>
      </c>
      <c r="D7" s="294">
        <v>2018727.03</v>
      </c>
      <c r="E7" s="294">
        <v>2018727.03</v>
      </c>
      <c r="F7" s="294">
        <v>2018727.03</v>
      </c>
      <c r="G7" s="294">
        <v>2018727.03</v>
      </c>
      <c r="H7" s="294">
        <f>F29</f>
        <v>2308218.8166666669</v>
      </c>
      <c r="I7" s="291"/>
    </row>
    <row r="8" spans="1:13" ht="24" x14ac:dyDescent="0.25">
      <c r="A8" s="23" t="s">
        <v>1068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2740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30" t="s">
        <v>2741</v>
      </c>
      <c r="B11" s="30" t="s">
        <v>2742</v>
      </c>
      <c r="C11" s="31">
        <v>797413.04</v>
      </c>
      <c r="D11" s="31">
        <v>365351.81</v>
      </c>
      <c r="E11" s="31">
        <v>708326.13</v>
      </c>
      <c r="F11" s="31">
        <f>E11/9*12</f>
        <v>944434.84000000008</v>
      </c>
      <c r="G11" s="31">
        <v>658823.53</v>
      </c>
      <c r="H11" s="31">
        <f>Income!O114</f>
        <v>797176.47130000009</v>
      </c>
      <c r="I11" s="29"/>
    </row>
    <row r="12" spans="1:13" ht="24" x14ac:dyDescent="0.25">
      <c r="A12" s="23" t="s">
        <v>2743</v>
      </c>
      <c r="B12" s="23" t="s">
        <v>2</v>
      </c>
      <c r="C12" s="32">
        <v>797413.04</v>
      </c>
      <c r="D12" s="32">
        <v>365351.81</v>
      </c>
      <c r="E12" s="32">
        <f>E11</f>
        <v>708326.13</v>
      </c>
      <c r="F12" s="32">
        <f>F11</f>
        <v>944434.84000000008</v>
      </c>
      <c r="G12" s="32">
        <f>SUM(G11)</f>
        <v>658823.53</v>
      </c>
      <c r="H12" s="32">
        <f>SUM(H11)</f>
        <v>797176.47130000009</v>
      </c>
      <c r="I12" s="29"/>
    </row>
    <row r="13" spans="1:13" x14ac:dyDescent="0.25">
      <c r="A13" s="23" t="s">
        <v>2</v>
      </c>
      <c r="B13" s="23" t="s">
        <v>2</v>
      </c>
      <c r="C13" s="23" t="s">
        <v>2</v>
      </c>
      <c r="D13" s="23" t="s">
        <v>2</v>
      </c>
      <c r="E13" s="23"/>
      <c r="F13" s="23"/>
      <c r="G13" s="23" t="s">
        <v>2</v>
      </c>
      <c r="H13" s="23" t="s">
        <v>2</v>
      </c>
      <c r="I13" s="29"/>
    </row>
    <row r="14" spans="1:13" x14ac:dyDescent="0.25">
      <c r="A14" s="23" t="s">
        <v>2175</v>
      </c>
      <c r="B14" s="23" t="s">
        <v>2</v>
      </c>
      <c r="C14" s="29"/>
      <c r="D14" s="29"/>
      <c r="E14" s="29"/>
      <c r="F14" s="29"/>
      <c r="G14" s="29"/>
      <c r="H14" s="29"/>
      <c r="I14" s="29"/>
    </row>
    <row r="15" spans="1:13" x14ac:dyDescent="0.25">
      <c r="A15" s="23" t="s">
        <v>2176</v>
      </c>
      <c r="B15" s="23" t="s">
        <v>2</v>
      </c>
      <c r="C15" s="29"/>
      <c r="D15" s="29"/>
      <c r="E15" s="29"/>
      <c r="F15" s="29"/>
      <c r="G15" s="29"/>
      <c r="H15" s="29"/>
      <c r="I15" s="29"/>
    </row>
    <row r="16" spans="1:13" x14ac:dyDescent="0.25">
      <c r="A16" s="30" t="s">
        <v>2744</v>
      </c>
      <c r="B16" s="30" t="s">
        <v>2409</v>
      </c>
      <c r="C16" s="31">
        <v>1083.8499999999999</v>
      </c>
      <c r="D16" s="31">
        <v>1000.63</v>
      </c>
      <c r="E16" s="31">
        <v>3792.71</v>
      </c>
      <c r="F16" s="31">
        <f t="shared" ref="F16:F18" si="0">E16/9*12</f>
        <v>5056.9466666666667</v>
      </c>
      <c r="G16" s="31">
        <v>0</v>
      </c>
      <c r="H16" s="31">
        <v>1000</v>
      </c>
      <c r="I16" s="29"/>
    </row>
    <row r="17" spans="1:9" x14ac:dyDescent="0.25">
      <c r="A17" s="30" t="s">
        <v>2745</v>
      </c>
      <c r="B17" s="30" t="s">
        <v>2746</v>
      </c>
      <c r="C17" s="31">
        <v>0</v>
      </c>
      <c r="D17" s="31">
        <v>0</v>
      </c>
      <c r="E17" s="31">
        <v>0</v>
      </c>
      <c r="F17" s="31">
        <f t="shared" si="0"/>
        <v>0</v>
      </c>
      <c r="G17" s="31">
        <v>0</v>
      </c>
      <c r="H17" s="31">
        <v>0</v>
      </c>
      <c r="I17" s="29"/>
    </row>
    <row r="18" spans="1:9" x14ac:dyDescent="0.25">
      <c r="A18" s="30" t="s">
        <v>2747</v>
      </c>
      <c r="B18" s="30" t="s">
        <v>2748</v>
      </c>
      <c r="C18" s="31">
        <v>0</v>
      </c>
      <c r="D18" s="31">
        <v>0</v>
      </c>
      <c r="E18" s="31">
        <v>0</v>
      </c>
      <c r="F18" s="31">
        <f t="shared" si="0"/>
        <v>0</v>
      </c>
      <c r="G18" s="31">
        <v>0</v>
      </c>
      <c r="H18" s="31">
        <v>0</v>
      </c>
      <c r="I18" s="29"/>
    </row>
    <row r="19" spans="1:9" ht="24" x14ac:dyDescent="0.25">
      <c r="A19" s="23" t="s">
        <v>2179</v>
      </c>
      <c r="B19" s="23" t="s">
        <v>2</v>
      </c>
      <c r="C19" s="32">
        <v>1083.8499999999999</v>
      </c>
      <c r="D19" s="32">
        <v>1000.63</v>
      </c>
      <c r="E19" s="32">
        <f>SUM(E16:E18)</f>
        <v>3792.71</v>
      </c>
      <c r="F19" s="32">
        <f>SUM(F16:F18)</f>
        <v>5056.9466666666667</v>
      </c>
      <c r="G19" s="32">
        <f>SUM(G16:G18)</f>
        <v>0</v>
      </c>
      <c r="H19" s="32">
        <f>SUM(H16:H18)</f>
        <v>1000</v>
      </c>
      <c r="I19" s="29"/>
    </row>
    <row r="20" spans="1:9" x14ac:dyDescent="0.25">
      <c r="A20" s="23"/>
      <c r="B20" s="23"/>
      <c r="C20" s="32"/>
      <c r="D20" s="32"/>
      <c r="E20" s="32"/>
      <c r="F20" s="32"/>
      <c r="G20" s="32"/>
      <c r="H20" s="32"/>
      <c r="I20" s="29"/>
    </row>
    <row r="21" spans="1:9" x14ac:dyDescent="0.25">
      <c r="A21" s="23" t="s">
        <v>2047</v>
      </c>
      <c r="B21" s="23" t="s">
        <v>2</v>
      </c>
      <c r="C21" s="32">
        <v>798496.89</v>
      </c>
      <c r="D21" s="32">
        <v>366352.44</v>
      </c>
      <c r="E21" s="32">
        <f>E12+E19</f>
        <v>712118.84</v>
      </c>
      <c r="F21" s="32">
        <f>F12+F19</f>
        <v>949491.78666666674</v>
      </c>
      <c r="G21" s="32">
        <f>G19+G12</f>
        <v>658823.53</v>
      </c>
      <c r="H21" s="32">
        <f>H19+H12</f>
        <v>798176.47130000009</v>
      </c>
      <c r="I21" s="29"/>
    </row>
    <row r="22" spans="1:9" ht="15" customHeight="1" x14ac:dyDescent="0.25">
      <c r="A22" s="1" t="s">
        <v>740</v>
      </c>
      <c r="B22" s="1" t="s">
        <v>2</v>
      </c>
    </row>
    <row r="23" spans="1:9" ht="15" customHeight="1" x14ac:dyDescent="0.25">
      <c r="A23" s="109" t="s">
        <v>1069</v>
      </c>
      <c r="B23" s="109" t="s">
        <v>1070</v>
      </c>
      <c r="C23" s="110">
        <v>0</v>
      </c>
      <c r="D23" s="110">
        <v>0</v>
      </c>
      <c r="E23" s="110">
        <v>0</v>
      </c>
      <c r="F23" s="110">
        <v>0</v>
      </c>
      <c r="G23" s="110">
        <v>0</v>
      </c>
      <c r="H23" s="110">
        <f>Transfers!$C$57</f>
        <v>0</v>
      </c>
      <c r="I23" s="108"/>
    </row>
    <row r="24" spans="1:9" ht="15" customHeight="1" x14ac:dyDescent="0.25">
      <c r="A24" s="109" t="s">
        <v>1071</v>
      </c>
      <c r="B24" s="109" t="s">
        <v>1072</v>
      </c>
      <c r="C24" s="110">
        <v>0</v>
      </c>
      <c r="D24" s="110">
        <v>0</v>
      </c>
      <c r="E24" s="110">
        <v>0</v>
      </c>
      <c r="F24" s="110">
        <v>250000</v>
      </c>
      <c r="G24" s="110">
        <v>250000</v>
      </c>
      <c r="H24" s="110">
        <f>Transfers!$C$34</f>
        <v>250000</v>
      </c>
      <c r="I24" s="108"/>
    </row>
    <row r="25" spans="1:9" x14ac:dyDescent="0.25">
      <c r="A25" s="109" t="s">
        <v>1073</v>
      </c>
      <c r="B25" s="109" t="s">
        <v>1074</v>
      </c>
      <c r="C25" s="110">
        <v>0</v>
      </c>
      <c r="D25" s="110">
        <v>0</v>
      </c>
      <c r="E25" s="110">
        <v>0</v>
      </c>
      <c r="F25" s="110">
        <v>350000</v>
      </c>
      <c r="G25" s="110">
        <v>350000</v>
      </c>
      <c r="H25" s="110">
        <f>Transfers!$C$31+Transfers!$C$35</f>
        <v>250000</v>
      </c>
      <c r="I25" s="108"/>
    </row>
    <row r="26" spans="1:9" x14ac:dyDescent="0.25">
      <c r="A26" s="109" t="s">
        <v>1075</v>
      </c>
      <c r="B26" s="109" t="s">
        <v>1076</v>
      </c>
      <c r="C26" s="110">
        <v>0</v>
      </c>
      <c r="D26" s="110">
        <v>0</v>
      </c>
      <c r="E26" s="110">
        <v>0</v>
      </c>
      <c r="F26" s="110">
        <v>60000</v>
      </c>
      <c r="G26" s="110">
        <v>60000</v>
      </c>
      <c r="H26" s="110">
        <f>Transfers!$C$165</f>
        <v>0</v>
      </c>
      <c r="I26" s="108"/>
    </row>
    <row r="27" spans="1:9" x14ac:dyDescent="0.25">
      <c r="A27" s="109" t="s">
        <v>3419</v>
      </c>
      <c r="B27" s="109" t="s">
        <v>4103</v>
      </c>
      <c r="C27" s="110">
        <v>0</v>
      </c>
      <c r="D27" s="110"/>
      <c r="E27" s="110"/>
      <c r="F27" s="110">
        <v>0</v>
      </c>
      <c r="G27" s="110">
        <v>0</v>
      </c>
      <c r="H27" s="110">
        <f>Transfers!C28</f>
        <v>500000</v>
      </c>
      <c r="I27" s="108"/>
    </row>
    <row r="28" spans="1:9" ht="15" customHeight="1" x14ac:dyDescent="0.25">
      <c r="A28" s="1" t="s">
        <v>1077</v>
      </c>
      <c r="B28" s="1" t="s">
        <v>2</v>
      </c>
      <c r="C28" s="4">
        <v>0</v>
      </c>
      <c r="D28" s="4">
        <v>0</v>
      </c>
      <c r="E28" s="4">
        <f>SUM(E23:E26)</f>
        <v>0</v>
      </c>
      <c r="F28" s="4">
        <f>SUM(F23:F27)</f>
        <v>660000</v>
      </c>
      <c r="G28" s="6">
        <f>SUM(G23:G27)</f>
        <v>660000</v>
      </c>
      <c r="H28" s="6">
        <f>SUM(H23:H26)</f>
        <v>500000</v>
      </c>
    </row>
    <row r="29" spans="1:9" ht="15" customHeight="1" x14ac:dyDescent="0.25">
      <c r="A29" s="291" t="s">
        <v>2749</v>
      </c>
      <c r="B29" s="291" t="s">
        <v>2</v>
      </c>
      <c r="C29" s="294">
        <f>C7+C21-C28</f>
        <v>2018727.0299999998</v>
      </c>
      <c r="D29" s="294">
        <f t="shared" ref="D29:H29" si="1">D7+D21-D28</f>
        <v>2385079.4700000002</v>
      </c>
      <c r="E29" s="294">
        <f t="shared" si="1"/>
        <v>2730845.87</v>
      </c>
      <c r="F29" s="294">
        <f t="shared" si="1"/>
        <v>2308218.8166666669</v>
      </c>
      <c r="G29" s="294">
        <f t="shared" si="1"/>
        <v>2017550.56</v>
      </c>
      <c r="H29" s="294">
        <f t="shared" si="1"/>
        <v>2606395.2879666667</v>
      </c>
      <c r="I29" s="291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26534-C957-45F1-A491-B588110C66CC}">
  <sheetPr>
    <tabColor rgb="FF92D050"/>
    <pageSetUpPr fitToPage="1"/>
  </sheetPr>
  <dimension ref="A1:M22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4015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H7-F21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2750</v>
      </c>
      <c r="B7" s="291"/>
      <c r="C7" s="294">
        <v>9545.36</v>
      </c>
      <c r="D7" s="294">
        <v>0</v>
      </c>
      <c r="E7" s="294">
        <v>0</v>
      </c>
      <c r="F7" s="294">
        <v>0</v>
      </c>
      <c r="G7" s="294">
        <v>0</v>
      </c>
      <c r="H7" s="294">
        <f>F21</f>
        <v>0</v>
      </c>
      <c r="I7" s="291"/>
    </row>
    <row r="8" spans="1:13" x14ac:dyDescent="0.25">
      <c r="A8" s="23" t="s">
        <v>1078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2751</v>
      </c>
      <c r="B10" s="30" t="s">
        <v>2752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29"/>
    </row>
    <row r="11" spans="1:13" x14ac:dyDescent="0.25">
      <c r="A11" s="23" t="s">
        <v>2047</v>
      </c>
      <c r="B11" s="23" t="s">
        <v>2</v>
      </c>
      <c r="C11" s="32">
        <v>0</v>
      </c>
      <c r="D11" s="32">
        <v>0</v>
      </c>
      <c r="E11" s="32">
        <f>E10</f>
        <v>0</v>
      </c>
      <c r="F11" s="32">
        <f>F10</f>
        <v>0</v>
      </c>
      <c r="G11" s="32">
        <f>SUM(G10)</f>
        <v>0</v>
      </c>
      <c r="H11" s="32">
        <f>SUM(H10)</f>
        <v>0</v>
      </c>
      <c r="I11" s="29"/>
    </row>
    <row r="12" spans="1:13" x14ac:dyDescent="0.25">
      <c r="A12" s="1" t="s">
        <v>740</v>
      </c>
      <c r="B12" s="1" t="s">
        <v>2</v>
      </c>
    </row>
    <row r="13" spans="1:13" ht="15" customHeight="1" x14ac:dyDescent="0.25">
      <c r="A13" s="2" t="s">
        <v>1079</v>
      </c>
      <c r="B13" s="2" t="s">
        <v>1080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5">
        <v>0</v>
      </c>
    </row>
    <row r="14" spans="1:13" ht="15" customHeight="1" x14ac:dyDescent="0.25">
      <c r="A14" s="2" t="s">
        <v>1081</v>
      </c>
      <c r="B14" s="2" t="s">
        <v>1082</v>
      </c>
      <c r="C14" s="3">
        <v>5239.12</v>
      </c>
      <c r="D14" s="3">
        <v>0</v>
      </c>
      <c r="E14" s="3">
        <v>0</v>
      </c>
      <c r="F14" s="3">
        <v>0</v>
      </c>
      <c r="G14" s="3">
        <v>0</v>
      </c>
      <c r="H14" s="5">
        <v>0</v>
      </c>
    </row>
    <row r="15" spans="1:13" ht="15" customHeight="1" x14ac:dyDescent="0.25">
      <c r="A15" s="2" t="s">
        <v>1083</v>
      </c>
      <c r="B15" s="2" t="s">
        <v>1084</v>
      </c>
      <c r="C15" s="3">
        <v>4306.24</v>
      </c>
      <c r="D15" s="3">
        <v>0</v>
      </c>
      <c r="E15" s="3">
        <v>0</v>
      </c>
      <c r="F15" s="3">
        <v>0</v>
      </c>
      <c r="G15" s="3">
        <v>0</v>
      </c>
      <c r="H15" s="5">
        <v>0</v>
      </c>
    </row>
    <row r="16" spans="1:13" ht="15" customHeight="1" x14ac:dyDescent="0.25">
      <c r="A16" s="2" t="s">
        <v>1085</v>
      </c>
      <c r="B16" s="2" t="s">
        <v>1086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5">
        <v>0</v>
      </c>
    </row>
    <row r="17" spans="1:9" ht="15" customHeight="1" x14ac:dyDescent="0.25">
      <c r="A17" s="2" t="s">
        <v>1087</v>
      </c>
      <c r="B17" s="2" t="s">
        <v>1088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5">
        <v>0</v>
      </c>
    </row>
    <row r="18" spans="1:9" ht="15" customHeight="1" x14ac:dyDescent="0.25">
      <c r="A18" s="2" t="s">
        <v>1089</v>
      </c>
      <c r="B18" s="2" t="s">
        <v>1090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5">
        <v>0</v>
      </c>
    </row>
    <row r="19" spans="1:9" ht="15" customHeight="1" x14ac:dyDescent="0.25">
      <c r="A19" s="2" t="s">
        <v>1091</v>
      </c>
      <c r="B19" s="2" t="s">
        <v>1092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5">
        <v>0</v>
      </c>
    </row>
    <row r="20" spans="1:9" ht="15" customHeight="1" x14ac:dyDescent="0.25">
      <c r="A20" s="1" t="s">
        <v>1093</v>
      </c>
      <c r="B20" s="1" t="s">
        <v>2</v>
      </c>
      <c r="C20" s="4">
        <v>9545.36</v>
      </c>
      <c r="D20" s="4">
        <v>0</v>
      </c>
      <c r="E20" s="4">
        <f>SUM(E13:E19)</f>
        <v>0</v>
      </c>
      <c r="F20" s="4">
        <f>SUM(F13:F19)</f>
        <v>0</v>
      </c>
      <c r="G20" s="6">
        <f>SUM(G13:G19)</f>
        <v>0</v>
      </c>
      <c r="H20" s="6">
        <f>SUM(H13:H19)</f>
        <v>0</v>
      </c>
    </row>
    <row r="21" spans="1:9" ht="15" customHeight="1" x14ac:dyDescent="0.25">
      <c r="A21" s="291" t="s">
        <v>2753</v>
      </c>
      <c r="B21" s="291"/>
      <c r="C21" s="294">
        <f>C7+C11-C20</f>
        <v>0</v>
      </c>
      <c r="D21" s="294">
        <f t="shared" ref="D21:H21" si="0">D7+D11-D20</f>
        <v>0</v>
      </c>
      <c r="E21" s="294">
        <f t="shared" si="0"/>
        <v>0</v>
      </c>
      <c r="F21" s="294">
        <f t="shared" ref="F21" si="1">F7+F11-F20</f>
        <v>0</v>
      </c>
      <c r="G21" s="294">
        <f t="shared" si="0"/>
        <v>0</v>
      </c>
      <c r="H21" s="294">
        <f t="shared" si="0"/>
        <v>0</v>
      </c>
      <c r="I21" s="291"/>
    </row>
    <row r="22" spans="1:9" x14ac:dyDescent="0.25">
      <c r="A22" s="1" t="s">
        <v>2</v>
      </c>
      <c r="B22" s="1" t="s">
        <v>2</v>
      </c>
      <c r="C22" s="1" t="s">
        <v>2</v>
      </c>
      <c r="D22" s="1" t="s">
        <v>2</v>
      </c>
      <c r="E22" s="1"/>
      <c r="F22" s="1"/>
      <c r="G22" s="1" t="s">
        <v>2</v>
      </c>
      <c r="H22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F5069-F3C1-42BE-B211-05293EDD241C}">
  <sheetPr>
    <tabColor rgb="FF92D050"/>
    <pageSetUpPr fitToPage="1"/>
  </sheetPr>
  <dimension ref="A1:M28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25.7109375" hidden="1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4014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H7-F27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2755</v>
      </c>
      <c r="B7" s="291"/>
      <c r="C7" s="294">
        <v>0</v>
      </c>
      <c r="D7" s="294">
        <v>2015757.68</v>
      </c>
      <c r="E7" s="294">
        <v>2015757.68</v>
      </c>
      <c r="F7" s="294">
        <v>2015757.68</v>
      </c>
      <c r="G7" s="294">
        <v>2015757.68</v>
      </c>
      <c r="H7" s="294">
        <f>F27</f>
        <v>2252577.34</v>
      </c>
      <c r="I7" s="291"/>
    </row>
    <row r="8" spans="1:13" ht="24" x14ac:dyDescent="0.25">
      <c r="A8" s="23" t="s">
        <v>1094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30" t="s">
        <v>2756</v>
      </c>
      <c r="B9" s="30" t="s">
        <v>2110</v>
      </c>
      <c r="C9" s="31">
        <v>2081265</v>
      </c>
      <c r="D9" s="31">
        <v>0</v>
      </c>
      <c r="E9" s="31">
        <v>2081265</v>
      </c>
      <c r="F9" s="31">
        <f>E9</f>
        <v>2081265</v>
      </c>
      <c r="G9" s="31">
        <v>2079234</v>
      </c>
      <c r="H9" s="31">
        <v>0</v>
      </c>
      <c r="I9" s="29"/>
    </row>
    <row r="10" spans="1:13" x14ac:dyDescent="0.25">
      <c r="A10" s="23" t="s">
        <v>2047</v>
      </c>
      <c r="B10" s="23" t="s">
        <v>2</v>
      </c>
      <c r="C10" s="32">
        <v>2081265</v>
      </c>
      <c r="D10" s="32">
        <v>0</v>
      </c>
      <c r="E10" s="32">
        <f>E9</f>
        <v>2081265</v>
      </c>
      <c r="F10" s="32">
        <f>F9</f>
        <v>2081265</v>
      </c>
      <c r="G10" s="32">
        <f>SUM(G9)</f>
        <v>2079234</v>
      </c>
      <c r="H10" s="32">
        <f>SUM(H9)</f>
        <v>0</v>
      </c>
      <c r="I10" s="29"/>
    </row>
    <row r="11" spans="1:13" ht="15" customHeight="1" x14ac:dyDescent="0.25">
      <c r="A11" s="1" t="s">
        <v>740</v>
      </c>
      <c r="B11" s="1" t="s">
        <v>2</v>
      </c>
    </row>
    <row r="12" spans="1:13" x14ac:dyDescent="0.25">
      <c r="A12" s="2" t="s">
        <v>1096</v>
      </c>
      <c r="B12" s="2" t="s">
        <v>1097</v>
      </c>
      <c r="C12" s="3">
        <v>0</v>
      </c>
      <c r="D12" s="3">
        <v>200000</v>
      </c>
      <c r="E12" s="3">
        <v>200000</v>
      </c>
      <c r="F12" s="3">
        <f>E12</f>
        <v>200000</v>
      </c>
      <c r="G12" s="3">
        <v>200000</v>
      </c>
      <c r="H12" s="5">
        <v>0</v>
      </c>
    </row>
    <row r="13" spans="1:13" ht="15" customHeight="1" x14ac:dyDescent="0.25">
      <c r="A13" s="2" t="s">
        <v>1098</v>
      </c>
      <c r="B13" s="2" t="s">
        <v>261</v>
      </c>
      <c r="C13" s="3">
        <v>0</v>
      </c>
      <c r="D13" s="3">
        <v>111336</v>
      </c>
      <c r="E13" s="3">
        <v>111336</v>
      </c>
      <c r="F13" s="3">
        <f t="shared" ref="F13:F25" si="0">E13</f>
        <v>111336</v>
      </c>
      <c r="G13" s="3">
        <v>111336</v>
      </c>
      <c r="H13" s="5">
        <v>0</v>
      </c>
    </row>
    <row r="14" spans="1:13" ht="15" customHeight="1" x14ac:dyDescent="0.25">
      <c r="A14" s="2" t="s">
        <v>1099</v>
      </c>
      <c r="B14" s="2" t="s">
        <v>1100</v>
      </c>
      <c r="C14" s="3">
        <v>361.88</v>
      </c>
      <c r="D14" s="3">
        <v>0</v>
      </c>
      <c r="E14" s="3">
        <v>0</v>
      </c>
      <c r="F14" s="3">
        <f t="shared" si="0"/>
        <v>0</v>
      </c>
      <c r="G14" s="3">
        <v>0</v>
      </c>
      <c r="H14" s="5">
        <v>0</v>
      </c>
    </row>
    <row r="15" spans="1:13" ht="15" customHeight="1" x14ac:dyDescent="0.25">
      <c r="A15" s="2" t="s">
        <v>1101</v>
      </c>
      <c r="B15" s="2" t="s">
        <v>1102</v>
      </c>
      <c r="C15" s="3">
        <v>0</v>
      </c>
      <c r="D15" s="3">
        <v>850000</v>
      </c>
      <c r="E15" s="3">
        <v>850000</v>
      </c>
      <c r="F15" s="3">
        <f t="shared" si="0"/>
        <v>850000</v>
      </c>
      <c r="G15" s="3">
        <v>850000</v>
      </c>
      <c r="H15" s="5">
        <v>0</v>
      </c>
      <c r="L15" s="48"/>
    </row>
    <row r="16" spans="1:13" x14ac:dyDescent="0.25">
      <c r="A16" s="2" t="s">
        <v>1103</v>
      </c>
      <c r="B16" s="2" t="s">
        <v>1104</v>
      </c>
      <c r="C16" s="3">
        <v>23000</v>
      </c>
      <c r="D16" s="3">
        <v>440000</v>
      </c>
      <c r="E16" s="3">
        <v>440000</v>
      </c>
      <c r="F16" s="3">
        <f t="shared" si="0"/>
        <v>440000</v>
      </c>
      <c r="G16" s="3">
        <v>400000</v>
      </c>
      <c r="H16" s="5">
        <v>0</v>
      </c>
      <c r="L16" s="48"/>
    </row>
    <row r="17" spans="1:12" ht="15" customHeight="1" x14ac:dyDescent="0.25">
      <c r="A17" s="2" t="s">
        <v>1105</v>
      </c>
      <c r="B17" s="2" t="s">
        <v>1106</v>
      </c>
      <c r="C17" s="3">
        <v>23627.67</v>
      </c>
      <c r="D17" s="3">
        <v>0</v>
      </c>
      <c r="E17" s="3">
        <v>1659.2</v>
      </c>
      <c r="F17" s="3">
        <f t="shared" si="0"/>
        <v>1659.2</v>
      </c>
      <c r="G17" s="3">
        <v>0</v>
      </c>
      <c r="H17" s="5">
        <v>0</v>
      </c>
      <c r="L17" s="48"/>
    </row>
    <row r="18" spans="1:12" ht="15" customHeight="1" x14ac:dyDescent="0.25">
      <c r="A18" s="2" t="s">
        <v>1107</v>
      </c>
      <c r="B18" s="2" t="s">
        <v>1108</v>
      </c>
      <c r="C18" s="3">
        <v>0</v>
      </c>
      <c r="D18" s="3">
        <v>6776.06</v>
      </c>
      <c r="E18" s="3">
        <v>6776.06</v>
      </c>
      <c r="F18" s="3">
        <f t="shared" si="0"/>
        <v>6776.06</v>
      </c>
      <c r="G18" s="3">
        <v>6776.06</v>
      </c>
      <c r="H18" s="5">
        <v>0</v>
      </c>
    </row>
    <row r="19" spans="1:12" ht="15" customHeight="1" x14ac:dyDescent="0.25">
      <c r="A19" s="2" t="s">
        <v>1109</v>
      </c>
      <c r="B19" s="2" t="s">
        <v>1110</v>
      </c>
      <c r="C19" s="3">
        <v>4926.47</v>
      </c>
      <c r="D19" s="3">
        <v>0</v>
      </c>
      <c r="E19" s="3">
        <v>0</v>
      </c>
      <c r="F19" s="3">
        <f t="shared" si="0"/>
        <v>0</v>
      </c>
      <c r="G19" s="3">
        <v>0</v>
      </c>
      <c r="H19" s="5">
        <v>0</v>
      </c>
    </row>
    <row r="20" spans="1:12" ht="15" customHeight="1" x14ac:dyDescent="0.25">
      <c r="A20" s="2" t="s">
        <v>1111</v>
      </c>
      <c r="B20" s="2" t="s">
        <v>1112</v>
      </c>
      <c r="C20" s="3">
        <v>13591.3</v>
      </c>
      <c r="D20" s="3">
        <v>174.08</v>
      </c>
      <c r="E20" s="3">
        <v>174.08</v>
      </c>
      <c r="F20" s="3">
        <f t="shared" si="0"/>
        <v>174.08</v>
      </c>
      <c r="G20" s="3">
        <v>174.08</v>
      </c>
      <c r="H20" s="5">
        <v>0</v>
      </c>
    </row>
    <row r="21" spans="1:12" ht="15" customHeight="1" x14ac:dyDescent="0.25">
      <c r="A21" s="2" t="s">
        <v>3419</v>
      </c>
      <c r="B21" s="2" t="s">
        <v>4060</v>
      </c>
      <c r="C21" s="3">
        <v>0</v>
      </c>
      <c r="D21" s="3"/>
      <c r="E21" s="3"/>
      <c r="F21" s="3">
        <v>0</v>
      </c>
      <c r="G21" s="3">
        <v>0</v>
      </c>
      <c r="H21" s="5">
        <v>100000</v>
      </c>
    </row>
    <row r="22" spans="1:12" ht="15" customHeight="1" x14ac:dyDescent="0.25">
      <c r="A22" s="2" t="s">
        <v>3419</v>
      </c>
      <c r="B22" s="2" t="s">
        <v>273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5">
        <v>100000</v>
      </c>
    </row>
    <row r="23" spans="1:12" ht="15" customHeight="1" x14ac:dyDescent="0.25">
      <c r="A23" s="2" t="s">
        <v>3419</v>
      </c>
      <c r="B23" s="2" t="s">
        <v>4098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5">
        <v>500000</v>
      </c>
    </row>
    <row r="24" spans="1:12" ht="15" customHeight="1" x14ac:dyDescent="0.25">
      <c r="A24" s="2" t="s">
        <v>3419</v>
      </c>
      <c r="B24" s="2" t="s">
        <v>4185</v>
      </c>
      <c r="C24" s="3">
        <v>0</v>
      </c>
      <c r="D24" s="3"/>
      <c r="E24" s="3"/>
      <c r="F24" s="3">
        <v>0</v>
      </c>
      <c r="G24" s="3">
        <v>0</v>
      </c>
      <c r="H24" s="5">
        <v>150000</v>
      </c>
      <c r="I24" t="s">
        <v>4186</v>
      </c>
      <c r="J24" s="318" t="s">
        <v>4183</v>
      </c>
    </row>
    <row r="25" spans="1:12" ht="15" customHeight="1" x14ac:dyDescent="0.25">
      <c r="A25" s="2" t="s">
        <v>1113</v>
      </c>
      <c r="B25" s="2" t="s">
        <v>1114</v>
      </c>
      <c r="C25" s="3">
        <v>0</v>
      </c>
      <c r="D25" s="3">
        <v>0</v>
      </c>
      <c r="E25" s="3">
        <v>234500</v>
      </c>
      <c r="F25" s="3">
        <f t="shared" si="0"/>
        <v>234500</v>
      </c>
      <c r="G25" s="3">
        <v>431713.9</v>
      </c>
      <c r="H25" s="302">
        <v>150000</v>
      </c>
      <c r="I25" s="92"/>
    </row>
    <row r="26" spans="1:12" ht="24" x14ac:dyDescent="0.25">
      <c r="A26" s="1" t="s">
        <v>1115</v>
      </c>
      <c r="B26" s="1" t="s">
        <v>2</v>
      </c>
      <c r="C26" s="4">
        <v>65507.32</v>
      </c>
      <c r="D26" s="4">
        <v>1608286.14</v>
      </c>
      <c r="E26" s="4">
        <f>SUM(E12:E25)</f>
        <v>1844445.34</v>
      </c>
      <c r="F26" s="4">
        <f>SUM(F12:F25)</f>
        <v>1844445.34</v>
      </c>
      <c r="G26" s="6">
        <f>SUM(G12:G25)</f>
        <v>2000000.04</v>
      </c>
      <c r="H26" s="6">
        <f>SUM(H12:H25)</f>
        <v>1000000</v>
      </c>
    </row>
    <row r="27" spans="1:12" ht="15" customHeight="1" x14ac:dyDescent="0.25">
      <c r="A27" s="291" t="s">
        <v>2758</v>
      </c>
      <c r="B27" s="291"/>
      <c r="C27" s="294">
        <f>C7+C10-C26</f>
        <v>2015757.68</v>
      </c>
      <c r="D27" s="294">
        <f t="shared" ref="D27:H27" si="1">D7+D10-D26</f>
        <v>407471.54000000004</v>
      </c>
      <c r="E27" s="294">
        <f t="shared" si="1"/>
        <v>2252577.34</v>
      </c>
      <c r="F27" s="294">
        <f t="shared" si="1"/>
        <v>2252577.34</v>
      </c>
      <c r="G27" s="294">
        <f>G7+G10-G26</f>
        <v>2094991.6399999997</v>
      </c>
      <c r="H27" s="294">
        <f t="shared" si="1"/>
        <v>1252577.3399999999</v>
      </c>
      <c r="I27" s="291"/>
    </row>
    <row r="28" spans="1:12" x14ac:dyDescent="0.25">
      <c r="A28" s="1" t="s">
        <v>2</v>
      </c>
      <c r="B28" s="1" t="s">
        <v>2</v>
      </c>
      <c r="C28" s="1" t="s">
        <v>2</v>
      </c>
      <c r="D28" s="1" t="s">
        <v>2</v>
      </c>
      <c r="E28" s="1"/>
      <c r="F28" s="1"/>
      <c r="G28" s="36"/>
      <c r="H28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23DBB-3ACC-48ED-BB49-781732F42090}">
  <sheetPr>
    <tabColor rgb="FF92D050"/>
    <pageSetUpPr fitToPage="1"/>
  </sheetPr>
  <dimension ref="A1:BC37"/>
  <sheetViews>
    <sheetView showGridLines="0" zoomScaleNormal="100" workbookViewId="0">
      <pane ySplit="5" topLeftCell="A32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4013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H7-F36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2754</v>
      </c>
      <c r="B7" s="291"/>
      <c r="C7" s="294">
        <v>105842.29</v>
      </c>
      <c r="D7" s="294">
        <v>107446.64</v>
      </c>
      <c r="E7" s="294">
        <v>107446.64</v>
      </c>
      <c r="F7" s="294">
        <v>107446.64</v>
      </c>
      <c r="G7" s="294">
        <v>107446.64</v>
      </c>
      <c r="H7" s="294">
        <f>F36</f>
        <v>147626.08000000002</v>
      </c>
      <c r="I7" s="291"/>
    </row>
    <row r="8" spans="1:13" x14ac:dyDescent="0.25">
      <c r="A8" s="23" t="s">
        <v>1117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30" t="s">
        <v>2759</v>
      </c>
      <c r="B9" s="30" t="s">
        <v>2760</v>
      </c>
      <c r="C9" s="31">
        <v>27474.28</v>
      </c>
      <c r="D9" s="31">
        <v>13903.26</v>
      </c>
      <c r="E9" s="31">
        <v>30402.91</v>
      </c>
      <c r="F9" s="31">
        <f>E9/9*12</f>
        <v>40537.213333333333</v>
      </c>
      <c r="G9" s="31">
        <v>10000</v>
      </c>
      <c r="H9" s="31">
        <v>28000</v>
      </c>
      <c r="I9" s="29"/>
    </row>
    <row r="10" spans="1:13" x14ac:dyDescent="0.25">
      <c r="A10" s="30" t="s">
        <v>2761</v>
      </c>
      <c r="B10" s="30" t="s">
        <v>2762</v>
      </c>
      <c r="C10" s="31">
        <v>27474.27</v>
      </c>
      <c r="D10" s="31">
        <v>13903.26</v>
      </c>
      <c r="E10" s="31">
        <v>30402.91</v>
      </c>
      <c r="F10" s="31">
        <f>E10/9*12</f>
        <v>40537.213333333333</v>
      </c>
      <c r="G10" s="31">
        <v>10000</v>
      </c>
      <c r="H10" s="31">
        <v>28000</v>
      </c>
      <c r="I10" s="29"/>
      <c r="L10" s="41"/>
      <c r="M10" s="41"/>
    </row>
    <row r="11" spans="1:13" x14ac:dyDescent="0.25">
      <c r="A11" s="30"/>
      <c r="B11" s="30"/>
      <c r="C11" s="31"/>
      <c r="D11" s="31"/>
      <c r="E11" s="31"/>
      <c r="F11" s="31"/>
      <c r="G11" s="31"/>
      <c r="H11" s="31"/>
      <c r="I11" s="29"/>
    </row>
    <row r="12" spans="1:13" x14ac:dyDescent="0.25">
      <c r="A12" s="23" t="s">
        <v>2175</v>
      </c>
      <c r="B12" s="23" t="s">
        <v>2</v>
      </c>
      <c r="C12" s="29"/>
      <c r="D12" s="29"/>
      <c r="E12" s="29"/>
      <c r="F12" s="29"/>
      <c r="G12" s="29"/>
      <c r="H12" s="29"/>
      <c r="I12" s="29"/>
    </row>
    <row r="13" spans="1:13" x14ac:dyDescent="0.25">
      <c r="A13" s="23" t="s">
        <v>2176</v>
      </c>
      <c r="B13" s="23" t="s">
        <v>2</v>
      </c>
      <c r="C13" s="29"/>
      <c r="D13" s="29"/>
      <c r="E13" s="29"/>
      <c r="F13" s="29"/>
      <c r="G13" s="29"/>
      <c r="H13" s="29"/>
      <c r="I13" s="29"/>
    </row>
    <row r="14" spans="1:13" x14ac:dyDescent="0.25">
      <c r="A14" s="30" t="s">
        <v>2763</v>
      </c>
      <c r="B14" s="30" t="s">
        <v>2409</v>
      </c>
      <c r="C14" s="31">
        <v>44.09</v>
      </c>
      <c r="D14" s="31">
        <v>36.82</v>
      </c>
      <c r="E14" s="31">
        <v>108.43</v>
      </c>
      <c r="F14" s="31">
        <f>E14/9*12</f>
        <v>144.57333333333332</v>
      </c>
      <c r="G14" s="31">
        <v>0</v>
      </c>
      <c r="H14" s="31">
        <v>100</v>
      </c>
      <c r="I14" s="29"/>
    </row>
    <row r="15" spans="1:13" ht="24" x14ac:dyDescent="0.25">
      <c r="A15" s="23" t="s">
        <v>2179</v>
      </c>
      <c r="B15" s="23" t="s">
        <v>2</v>
      </c>
      <c r="C15" s="32">
        <v>44.09</v>
      </c>
      <c r="D15" s="32">
        <v>36.82</v>
      </c>
      <c r="E15" s="32">
        <f>E14</f>
        <v>108.43</v>
      </c>
      <c r="F15" s="32">
        <f>F14</f>
        <v>144.57333333333332</v>
      </c>
      <c r="G15" s="32">
        <f>SUM(G14)</f>
        <v>0</v>
      </c>
      <c r="H15" s="32">
        <f>SUM(H14)</f>
        <v>100</v>
      </c>
      <c r="I15" s="29"/>
      <c r="L15" s="41"/>
      <c r="M15" s="41"/>
    </row>
    <row r="16" spans="1:13" x14ac:dyDescent="0.25">
      <c r="A16" s="23" t="s">
        <v>2</v>
      </c>
      <c r="B16" s="23" t="s">
        <v>2</v>
      </c>
      <c r="C16" s="23" t="s">
        <v>2</v>
      </c>
      <c r="D16" s="23" t="s">
        <v>2</v>
      </c>
      <c r="E16" s="23"/>
      <c r="F16" s="23"/>
      <c r="G16" s="23" t="s">
        <v>2</v>
      </c>
      <c r="H16" s="23" t="s">
        <v>2</v>
      </c>
      <c r="I16" s="29"/>
    </row>
    <row r="17" spans="1:55" s="29" customFormat="1" x14ac:dyDescent="0.25">
      <c r="A17" s="23" t="s">
        <v>2047</v>
      </c>
      <c r="B17" s="23" t="s">
        <v>2</v>
      </c>
      <c r="C17" s="32">
        <v>54992.639999999999</v>
      </c>
      <c r="D17" s="32">
        <v>27843.34</v>
      </c>
      <c r="E17" s="32">
        <f>E9+E10+E15</f>
        <v>60914.25</v>
      </c>
      <c r="F17" s="32">
        <f>F9+F10+F15</f>
        <v>81219</v>
      </c>
      <c r="G17" s="32">
        <f>SUM(G9:G10)+G15</f>
        <v>20000</v>
      </c>
      <c r="H17" s="32">
        <f>SUM(H9:H10)+H15</f>
        <v>56100</v>
      </c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</row>
    <row r="18" spans="1:55" x14ac:dyDescent="0.25">
      <c r="A18" s="1" t="s">
        <v>1117</v>
      </c>
      <c r="B18" s="1" t="s">
        <v>2</v>
      </c>
    </row>
    <row r="19" spans="1:55" x14ac:dyDescent="0.25">
      <c r="A19" s="2" t="s">
        <v>1118</v>
      </c>
      <c r="B19" s="2" t="s">
        <v>1097</v>
      </c>
      <c r="C19" s="3">
        <v>39000</v>
      </c>
      <c r="D19" s="3">
        <v>10500</v>
      </c>
      <c r="E19" s="3">
        <v>24000</v>
      </c>
      <c r="F19" s="3">
        <f>E19</f>
        <v>24000</v>
      </c>
      <c r="G19" s="3">
        <v>42000</v>
      </c>
      <c r="H19" s="5">
        <v>43000</v>
      </c>
    </row>
    <row r="20" spans="1:55" ht="15" customHeight="1" x14ac:dyDescent="0.25">
      <c r="A20" s="2" t="s">
        <v>1119</v>
      </c>
      <c r="B20" s="2" t="s">
        <v>1120</v>
      </c>
      <c r="C20" s="3">
        <v>2000</v>
      </c>
      <c r="D20" s="3">
        <v>0</v>
      </c>
      <c r="E20" s="3">
        <v>1690.46</v>
      </c>
      <c r="F20" s="3">
        <f t="shared" ref="F20:F32" si="0">E20</f>
        <v>1690.46</v>
      </c>
      <c r="G20" s="3">
        <v>2000</v>
      </c>
      <c r="H20" s="5">
        <v>0</v>
      </c>
    </row>
    <row r="21" spans="1:55" ht="15" customHeight="1" x14ac:dyDescent="0.25">
      <c r="A21" s="2" t="s">
        <v>1121</v>
      </c>
      <c r="B21" s="2" t="s">
        <v>275</v>
      </c>
      <c r="C21" s="3">
        <v>925.7</v>
      </c>
      <c r="D21" s="3">
        <v>0</v>
      </c>
      <c r="E21" s="3">
        <v>0</v>
      </c>
      <c r="F21" s="3">
        <f t="shared" si="0"/>
        <v>0</v>
      </c>
      <c r="G21" s="3">
        <v>0</v>
      </c>
      <c r="H21" s="5">
        <v>0</v>
      </c>
    </row>
    <row r="22" spans="1:55" ht="15" customHeight="1" x14ac:dyDescent="0.25">
      <c r="A22" s="2" t="s">
        <v>1122</v>
      </c>
      <c r="B22" s="2" t="s">
        <v>1123</v>
      </c>
      <c r="C22" s="3">
        <v>0</v>
      </c>
      <c r="D22" s="3">
        <v>0</v>
      </c>
      <c r="E22" s="3">
        <v>0</v>
      </c>
      <c r="F22" s="3">
        <f t="shared" si="0"/>
        <v>0</v>
      </c>
      <c r="G22" s="3">
        <v>0</v>
      </c>
      <c r="H22" s="5">
        <v>0</v>
      </c>
    </row>
    <row r="23" spans="1:55" ht="15" customHeight="1" x14ac:dyDescent="0.25">
      <c r="A23" s="2" t="s">
        <v>1124</v>
      </c>
      <c r="B23" s="2" t="s">
        <v>1125</v>
      </c>
      <c r="C23" s="3">
        <v>0</v>
      </c>
      <c r="D23" s="3">
        <v>0</v>
      </c>
      <c r="E23" s="3">
        <v>0</v>
      </c>
      <c r="F23" s="3">
        <f t="shared" si="0"/>
        <v>0</v>
      </c>
      <c r="G23" s="3">
        <v>5000</v>
      </c>
      <c r="H23" s="5">
        <v>0</v>
      </c>
    </row>
    <row r="24" spans="1:55" ht="15" customHeight="1" x14ac:dyDescent="0.25">
      <c r="A24" s="2" t="s">
        <v>1126</v>
      </c>
      <c r="B24" s="2" t="s">
        <v>1127</v>
      </c>
      <c r="C24" s="3">
        <v>0</v>
      </c>
      <c r="D24" s="3">
        <v>0</v>
      </c>
      <c r="E24" s="3">
        <v>0</v>
      </c>
      <c r="F24" s="3">
        <f t="shared" si="0"/>
        <v>0</v>
      </c>
      <c r="G24" s="3">
        <v>0</v>
      </c>
      <c r="H24" s="5">
        <v>0</v>
      </c>
    </row>
    <row r="25" spans="1:55" ht="15" customHeight="1" x14ac:dyDescent="0.25">
      <c r="A25" s="2" t="s">
        <v>1128</v>
      </c>
      <c r="B25" s="2" t="s">
        <v>1129</v>
      </c>
      <c r="C25" s="3">
        <v>0</v>
      </c>
      <c r="D25" s="3">
        <v>0</v>
      </c>
      <c r="E25" s="3">
        <v>0</v>
      </c>
      <c r="F25" s="3">
        <f t="shared" si="0"/>
        <v>0</v>
      </c>
      <c r="G25" s="3">
        <v>0</v>
      </c>
      <c r="H25" s="5">
        <v>0</v>
      </c>
    </row>
    <row r="26" spans="1:55" ht="15" customHeight="1" x14ac:dyDescent="0.25">
      <c r="A26" s="2" t="s">
        <v>1130</v>
      </c>
      <c r="B26" s="2" t="s">
        <v>1131</v>
      </c>
      <c r="C26" s="3">
        <v>0</v>
      </c>
      <c r="D26" s="3">
        <v>0</v>
      </c>
      <c r="E26" s="3">
        <v>0</v>
      </c>
      <c r="F26" s="3">
        <f t="shared" si="0"/>
        <v>0</v>
      </c>
      <c r="G26" s="3">
        <v>5000</v>
      </c>
      <c r="H26" s="5">
        <v>0</v>
      </c>
    </row>
    <row r="27" spans="1:55" ht="15" customHeight="1" x14ac:dyDescent="0.25">
      <c r="A27" s="2" t="s">
        <v>1132</v>
      </c>
      <c r="B27" s="2" t="s">
        <v>1123</v>
      </c>
      <c r="C27" s="3">
        <v>0</v>
      </c>
      <c r="D27" s="3">
        <v>0</v>
      </c>
      <c r="E27" s="3">
        <v>0</v>
      </c>
      <c r="F27" s="3">
        <f t="shared" si="0"/>
        <v>0</v>
      </c>
      <c r="G27" s="3">
        <v>0</v>
      </c>
      <c r="H27" s="5">
        <v>0</v>
      </c>
    </row>
    <row r="28" spans="1:55" ht="15" customHeight="1" x14ac:dyDescent="0.25">
      <c r="A28" s="2" t="s">
        <v>1133</v>
      </c>
      <c r="B28" s="2" t="s">
        <v>1134</v>
      </c>
      <c r="C28" s="3">
        <v>2000</v>
      </c>
      <c r="D28" s="3">
        <v>1557.11</v>
      </c>
      <c r="E28" s="3">
        <v>1849.1</v>
      </c>
      <c r="F28" s="3">
        <f t="shared" si="0"/>
        <v>1849.1</v>
      </c>
      <c r="G28" s="3">
        <v>2525</v>
      </c>
      <c r="H28" s="5">
        <v>2421</v>
      </c>
    </row>
    <row r="29" spans="1:55" ht="15" customHeight="1" x14ac:dyDescent="0.25">
      <c r="A29" s="2" t="s">
        <v>1135</v>
      </c>
      <c r="B29" s="2" t="s">
        <v>1136</v>
      </c>
      <c r="C29" s="3">
        <v>1462.59</v>
      </c>
      <c r="D29" s="3">
        <v>0</v>
      </c>
      <c r="E29" s="3">
        <v>0</v>
      </c>
      <c r="F29" s="3">
        <f t="shared" si="0"/>
        <v>0</v>
      </c>
      <c r="G29" s="3">
        <v>3000</v>
      </c>
      <c r="H29" s="5">
        <v>3000</v>
      </c>
    </row>
    <row r="30" spans="1:55" ht="15" customHeight="1" x14ac:dyDescent="0.25">
      <c r="A30" s="2" t="s">
        <v>1137</v>
      </c>
      <c r="B30" s="2" t="s">
        <v>1138</v>
      </c>
      <c r="C30" s="3">
        <v>0</v>
      </c>
      <c r="D30" s="3">
        <v>0</v>
      </c>
      <c r="E30" s="3">
        <v>0</v>
      </c>
      <c r="F30" s="3">
        <f t="shared" si="0"/>
        <v>0</v>
      </c>
      <c r="G30" s="3">
        <v>2000</v>
      </c>
      <c r="H30" s="5">
        <v>0</v>
      </c>
    </row>
    <row r="31" spans="1:55" ht="15" customHeight="1" x14ac:dyDescent="0.25">
      <c r="A31" s="2" t="s">
        <v>1139</v>
      </c>
      <c r="B31" s="2" t="s">
        <v>1140</v>
      </c>
      <c r="C31" s="3">
        <v>0</v>
      </c>
      <c r="D31" s="3">
        <v>0</v>
      </c>
      <c r="E31" s="3">
        <v>0</v>
      </c>
      <c r="F31" s="3">
        <f t="shared" si="0"/>
        <v>0</v>
      </c>
      <c r="G31" s="3">
        <v>3000</v>
      </c>
      <c r="H31" s="5">
        <v>0</v>
      </c>
    </row>
    <row r="32" spans="1:55" ht="15" customHeight="1" x14ac:dyDescent="0.25">
      <c r="A32" s="2" t="s">
        <v>3419</v>
      </c>
      <c r="B32" s="2" t="s">
        <v>3418</v>
      </c>
      <c r="C32" s="3">
        <v>0</v>
      </c>
      <c r="D32" s="3">
        <v>0</v>
      </c>
      <c r="E32" s="3">
        <v>0</v>
      </c>
      <c r="F32" s="3">
        <f t="shared" si="0"/>
        <v>0</v>
      </c>
      <c r="G32" s="3">
        <v>0</v>
      </c>
      <c r="H32" s="5">
        <v>3400</v>
      </c>
    </row>
    <row r="33" spans="1:9" ht="15" customHeight="1" x14ac:dyDescent="0.25">
      <c r="A33" s="109" t="s">
        <v>1141</v>
      </c>
      <c r="B33" s="109" t="s">
        <v>1142</v>
      </c>
      <c r="C33" s="110">
        <v>8000</v>
      </c>
      <c r="D33" s="110">
        <v>0</v>
      </c>
      <c r="E33" s="110">
        <v>0</v>
      </c>
      <c r="F33" s="110">
        <v>13500</v>
      </c>
      <c r="G33" s="110">
        <v>13500</v>
      </c>
      <c r="H33" s="110">
        <f>Transfers!$C$9</f>
        <v>24000</v>
      </c>
      <c r="I33" s="108"/>
    </row>
    <row r="34" spans="1:9" ht="15" customHeight="1" x14ac:dyDescent="0.25">
      <c r="A34" s="109" t="s">
        <v>1143</v>
      </c>
      <c r="B34" s="109" t="s">
        <v>1144</v>
      </c>
      <c r="C34" s="110">
        <v>0</v>
      </c>
      <c r="D34" s="110">
        <v>0</v>
      </c>
      <c r="E34" s="110">
        <v>0</v>
      </c>
      <c r="F34" s="110">
        <v>0</v>
      </c>
      <c r="G34" s="110">
        <v>0</v>
      </c>
      <c r="H34" s="110">
        <f>Transfers!$C$167</f>
        <v>0</v>
      </c>
      <c r="I34" s="108"/>
    </row>
    <row r="35" spans="1:9" ht="15" customHeight="1" x14ac:dyDescent="0.25">
      <c r="A35" s="1" t="s">
        <v>1145</v>
      </c>
      <c r="B35" s="1" t="s">
        <v>2</v>
      </c>
      <c r="C35" s="4">
        <v>53388.29</v>
      </c>
      <c r="D35" s="4">
        <v>12057.11</v>
      </c>
      <c r="E35" s="4">
        <f>SUM(E19:E34)</f>
        <v>27539.559999999998</v>
      </c>
      <c r="F35" s="4">
        <f>SUM(F19:F34)</f>
        <v>41039.56</v>
      </c>
      <c r="G35" s="6">
        <f>SUM(G19:G34)</f>
        <v>78025</v>
      </c>
      <c r="H35" s="6">
        <f>SUM(H19:H34)</f>
        <v>75821</v>
      </c>
    </row>
    <row r="36" spans="1:9" ht="15" customHeight="1" x14ac:dyDescent="0.25">
      <c r="A36" s="291" t="s">
        <v>2757</v>
      </c>
      <c r="B36" s="291"/>
      <c r="C36" s="294">
        <f>C7+C17-C35</f>
        <v>107446.63999999998</v>
      </c>
      <c r="D36" s="294">
        <f t="shared" ref="D36:G36" si="1">D7+D17-D35</f>
        <v>123232.87000000001</v>
      </c>
      <c r="E36" s="294">
        <f t="shared" si="1"/>
        <v>140821.33000000002</v>
      </c>
      <c r="F36" s="294">
        <f t="shared" si="1"/>
        <v>147626.08000000002</v>
      </c>
      <c r="G36" s="294">
        <f t="shared" si="1"/>
        <v>49421.64</v>
      </c>
      <c r="H36" s="294">
        <f>H7+H17-H35</f>
        <v>127905.08000000002</v>
      </c>
      <c r="I36" s="291"/>
    </row>
    <row r="37" spans="1:9" x14ac:dyDescent="0.25">
      <c r="A37" s="1" t="s">
        <v>2</v>
      </c>
      <c r="B37" s="1" t="s">
        <v>2</v>
      </c>
      <c r="C37" s="1" t="s">
        <v>2</v>
      </c>
      <c r="D37" s="1" t="s">
        <v>2</v>
      </c>
      <c r="E37" s="1"/>
      <c r="F37" s="1"/>
      <c r="G37" s="1" t="s">
        <v>2</v>
      </c>
      <c r="H37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56B91-1744-4F9B-A5DA-4EF9CB444BB3}">
  <sheetPr>
    <tabColor rgb="FF92D050"/>
    <pageSetUpPr fitToPage="1"/>
  </sheetPr>
  <dimension ref="A1:M36"/>
  <sheetViews>
    <sheetView showGridLines="0" zoomScaleNormal="100" workbookViewId="0">
      <pane ySplit="5" topLeftCell="A25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4012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H7-F36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2764</v>
      </c>
      <c r="B7" s="291"/>
      <c r="C7" s="294">
        <v>11045.05</v>
      </c>
      <c r="D7" s="294">
        <v>5732.97</v>
      </c>
      <c r="E7" s="294">
        <v>5732.97</v>
      </c>
      <c r="F7" s="294">
        <v>5732.97</v>
      </c>
      <c r="G7" s="294">
        <v>5732.97</v>
      </c>
      <c r="H7" s="294">
        <f>F36</f>
        <v>5734.0500000000029</v>
      </c>
      <c r="I7" s="291"/>
    </row>
    <row r="8" spans="1:13" x14ac:dyDescent="0.25">
      <c r="A8" s="23" t="s">
        <v>1146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2765</v>
      </c>
      <c r="B12" s="30" t="s">
        <v>2409</v>
      </c>
      <c r="C12" s="31">
        <v>0.42</v>
      </c>
      <c r="D12" s="31">
        <v>0.28000000000000003</v>
      </c>
      <c r="E12" s="31">
        <v>0.81</v>
      </c>
      <c r="F12" s="31">
        <f>E12/9*12</f>
        <v>1.08</v>
      </c>
      <c r="G12" s="31">
        <v>0</v>
      </c>
      <c r="H12" s="31">
        <v>0</v>
      </c>
      <c r="I12" s="29"/>
    </row>
    <row r="13" spans="1:13" x14ac:dyDescent="0.25">
      <c r="A13" s="30" t="s">
        <v>2766</v>
      </c>
      <c r="B13" s="30" t="s">
        <v>2703</v>
      </c>
      <c r="C13" s="31">
        <v>0</v>
      </c>
      <c r="D13" s="31">
        <v>0</v>
      </c>
      <c r="E13" s="31">
        <v>0</v>
      </c>
      <c r="F13" s="31">
        <f>E13/9*12</f>
        <v>0</v>
      </c>
      <c r="G13" s="31">
        <v>0</v>
      </c>
      <c r="H13" s="31">
        <v>0</v>
      </c>
      <c r="I13" s="29"/>
    </row>
    <row r="14" spans="1:13" ht="24" x14ac:dyDescent="0.25">
      <c r="A14" s="23" t="s">
        <v>2179</v>
      </c>
      <c r="B14" s="23" t="s">
        <v>2</v>
      </c>
      <c r="C14" s="32">
        <v>0.42</v>
      </c>
      <c r="D14" s="32">
        <v>0.28000000000000003</v>
      </c>
      <c r="E14" s="32">
        <f>SUM(E12:E13)</f>
        <v>0.81</v>
      </c>
      <c r="F14" s="32">
        <f>SUM(F12:F13)</f>
        <v>1.08</v>
      </c>
      <c r="G14" s="32">
        <f>SUM(G12:G13)</f>
        <v>0</v>
      </c>
      <c r="H14" s="32">
        <f>SUM(H12:H13)</f>
        <v>0</v>
      </c>
      <c r="I14" s="29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29"/>
    </row>
    <row r="16" spans="1:13" x14ac:dyDescent="0.25">
      <c r="A16" s="23" t="s">
        <v>2724</v>
      </c>
      <c r="B16" s="23" t="s">
        <v>2</v>
      </c>
      <c r="C16" s="29"/>
      <c r="D16" s="29"/>
      <c r="E16" s="29"/>
      <c r="F16" s="29"/>
      <c r="G16" s="29"/>
      <c r="H16" s="29"/>
      <c r="I16" s="29"/>
    </row>
    <row r="17" spans="1:9" x14ac:dyDescent="0.25">
      <c r="A17" s="109" t="s">
        <v>2767</v>
      </c>
      <c r="B17" s="109" t="s">
        <v>2768</v>
      </c>
      <c r="C17" s="110">
        <v>0</v>
      </c>
      <c r="D17" s="110">
        <v>0</v>
      </c>
      <c r="E17" s="110">
        <v>0</v>
      </c>
      <c r="F17" s="110">
        <v>0</v>
      </c>
      <c r="G17" s="110">
        <v>0</v>
      </c>
      <c r="H17" s="110">
        <f>Transfers!$C$36</f>
        <v>0</v>
      </c>
      <c r="I17" s="108"/>
    </row>
    <row r="18" spans="1:9" x14ac:dyDescent="0.25">
      <c r="A18" s="109" t="s">
        <v>2769</v>
      </c>
      <c r="B18" s="109" t="s">
        <v>2770</v>
      </c>
      <c r="C18" s="110">
        <v>70272</v>
      </c>
      <c r="D18" s="110">
        <v>0</v>
      </c>
      <c r="E18" s="110">
        <v>0</v>
      </c>
      <c r="F18" s="110">
        <v>70272</v>
      </c>
      <c r="G18" s="110">
        <v>70272</v>
      </c>
      <c r="H18" s="110">
        <f>Transfers!$C$37</f>
        <v>70000</v>
      </c>
      <c r="I18" s="108"/>
    </row>
    <row r="19" spans="1:9" x14ac:dyDescent="0.25">
      <c r="A19" s="109" t="s">
        <v>2771</v>
      </c>
      <c r="B19" s="109" t="s">
        <v>2772</v>
      </c>
      <c r="C19" s="110">
        <v>45312.5</v>
      </c>
      <c r="D19" s="110">
        <v>0</v>
      </c>
      <c r="E19" s="110">
        <v>0</v>
      </c>
      <c r="F19" s="110">
        <v>49425</v>
      </c>
      <c r="G19" s="110">
        <v>49425</v>
      </c>
      <c r="H19" s="110">
        <f>Transfers!$C$38</f>
        <v>50000</v>
      </c>
      <c r="I19" s="108"/>
    </row>
    <row r="20" spans="1:9" x14ac:dyDescent="0.25">
      <c r="A20" s="23" t="s">
        <v>2725</v>
      </c>
      <c r="B20" s="23" t="s">
        <v>2</v>
      </c>
      <c r="C20" s="32">
        <v>115584.5</v>
      </c>
      <c r="D20" s="32">
        <v>0</v>
      </c>
      <c r="E20" s="32">
        <f>SUM(E17:E19)</f>
        <v>0</v>
      </c>
      <c r="F20" s="32">
        <f>SUM(F17:F19)</f>
        <v>119697</v>
      </c>
      <c r="G20" s="32">
        <f>SUM(G17:G19)</f>
        <v>119697</v>
      </c>
      <c r="H20" s="32">
        <f>SUM(H17:H19)</f>
        <v>120000</v>
      </c>
      <c r="I20" s="29"/>
    </row>
    <row r="21" spans="1:9" x14ac:dyDescent="0.25">
      <c r="A21" s="23" t="s">
        <v>2</v>
      </c>
      <c r="B21" s="23" t="s">
        <v>2</v>
      </c>
      <c r="C21" s="23" t="s">
        <v>2</v>
      </c>
      <c r="D21" s="23" t="s">
        <v>2</v>
      </c>
      <c r="E21" s="23"/>
      <c r="F21" s="23"/>
      <c r="G21" s="23" t="s">
        <v>2</v>
      </c>
      <c r="H21" s="23" t="s">
        <v>2</v>
      </c>
      <c r="I21" s="29"/>
    </row>
    <row r="22" spans="1:9" x14ac:dyDescent="0.25">
      <c r="A22" s="23" t="s">
        <v>2047</v>
      </c>
      <c r="B22" s="23" t="s">
        <v>2</v>
      </c>
      <c r="C22" s="32">
        <v>115584.92</v>
      </c>
      <c r="D22" s="32">
        <v>0.28000000000000003</v>
      </c>
      <c r="E22" s="32">
        <f>E14+E20</f>
        <v>0.81</v>
      </c>
      <c r="F22" s="32">
        <f>F14+F20</f>
        <v>119698.08</v>
      </c>
      <c r="G22" s="32">
        <f>G14+G20</f>
        <v>119697</v>
      </c>
      <c r="H22" s="32">
        <f>H14+H20</f>
        <v>120000</v>
      </c>
      <c r="I22" s="29"/>
    </row>
    <row r="23" spans="1:9" x14ac:dyDescent="0.25">
      <c r="A23" s="1" t="s">
        <v>740</v>
      </c>
      <c r="B23" s="1" t="s">
        <v>2</v>
      </c>
      <c r="C23" s="1" t="s">
        <v>2</v>
      </c>
      <c r="D23" s="1" t="s">
        <v>2</v>
      </c>
      <c r="E23" s="1"/>
      <c r="F23" s="1"/>
      <c r="G23" s="1" t="s">
        <v>2</v>
      </c>
      <c r="H23" s="1" t="s">
        <v>2</v>
      </c>
    </row>
    <row r="24" spans="1:9" ht="15" customHeight="1" x14ac:dyDescent="0.25">
      <c r="A24" s="1" t="s">
        <v>556</v>
      </c>
      <c r="B24" s="1" t="s">
        <v>2</v>
      </c>
    </row>
    <row r="25" spans="1:9" ht="27" customHeight="1" x14ac:dyDescent="0.25">
      <c r="A25" s="1" t="s">
        <v>1147</v>
      </c>
      <c r="B25" s="1" t="s">
        <v>2</v>
      </c>
    </row>
    <row r="26" spans="1:9" x14ac:dyDescent="0.25">
      <c r="A26" s="2" t="s">
        <v>1148</v>
      </c>
      <c r="B26" s="2" t="s">
        <v>1149</v>
      </c>
      <c r="C26" s="3">
        <v>40000</v>
      </c>
      <c r="D26" s="3">
        <v>0</v>
      </c>
      <c r="E26" s="3">
        <v>0</v>
      </c>
      <c r="F26" s="3">
        <f>G26</f>
        <v>40000</v>
      </c>
      <c r="G26" s="3">
        <v>40000</v>
      </c>
      <c r="H26" s="5">
        <v>40000</v>
      </c>
    </row>
    <row r="27" spans="1:9" x14ac:dyDescent="0.25">
      <c r="A27" s="2" t="s">
        <v>1150</v>
      </c>
      <c r="B27" s="2" t="s">
        <v>1151</v>
      </c>
      <c r="C27" s="3">
        <v>63317</v>
      </c>
      <c r="D27" s="3">
        <v>0</v>
      </c>
      <c r="E27" s="3">
        <v>0</v>
      </c>
      <c r="F27" s="3">
        <f>G27</f>
        <v>64267</v>
      </c>
      <c r="G27" s="3">
        <v>64267</v>
      </c>
      <c r="H27" s="5">
        <v>65231</v>
      </c>
    </row>
    <row r="28" spans="1:9" ht="26.25" customHeight="1" x14ac:dyDescent="0.25">
      <c r="A28" s="1" t="s">
        <v>1152</v>
      </c>
      <c r="B28" s="1" t="s">
        <v>2</v>
      </c>
      <c r="C28" s="4">
        <v>103317</v>
      </c>
      <c r="D28" s="4">
        <v>0</v>
      </c>
      <c r="E28" s="4">
        <f>SUM(E26:E27)</f>
        <v>0</v>
      </c>
      <c r="F28" s="4">
        <f>SUM(F26:F27)</f>
        <v>104267</v>
      </c>
      <c r="G28" s="6">
        <f>SUM(G26:G27)</f>
        <v>104267</v>
      </c>
      <c r="H28" s="6">
        <f>SUM(H26:H27)</f>
        <v>105231</v>
      </c>
    </row>
    <row r="29" spans="1:9" x14ac:dyDescent="0.25">
      <c r="A29" s="1" t="s">
        <v>2</v>
      </c>
      <c r="B29" s="1" t="s">
        <v>2</v>
      </c>
      <c r="C29" s="1" t="s">
        <v>2</v>
      </c>
      <c r="D29" s="1" t="s">
        <v>2</v>
      </c>
      <c r="E29" s="1"/>
      <c r="F29" s="1"/>
      <c r="G29" s="1" t="s">
        <v>2</v>
      </c>
      <c r="H29" s="1" t="s">
        <v>2</v>
      </c>
    </row>
    <row r="30" spans="1:9" ht="15" customHeight="1" x14ac:dyDescent="0.25">
      <c r="A30" s="1" t="s">
        <v>1153</v>
      </c>
      <c r="B30" s="1" t="s">
        <v>2</v>
      </c>
    </row>
    <row r="31" spans="1:9" x14ac:dyDescent="0.25">
      <c r="A31" s="2" t="s">
        <v>1154</v>
      </c>
      <c r="B31" s="2" t="s">
        <v>1155</v>
      </c>
      <c r="C31" s="3">
        <v>10625</v>
      </c>
      <c r="D31" s="3">
        <v>0</v>
      </c>
      <c r="E31" s="3">
        <v>4712.5</v>
      </c>
      <c r="F31" s="3">
        <f>G31</f>
        <v>9425</v>
      </c>
      <c r="G31" s="3">
        <v>9425</v>
      </c>
      <c r="H31" s="5">
        <v>8225</v>
      </c>
    </row>
    <row r="32" spans="1:9" ht="15" customHeight="1" x14ac:dyDescent="0.25">
      <c r="A32" s="2" t="s">
        <v>1156</v>
      </c>
      <c r="B32" s="2" t="s">
        <v>1157</v>
      </c>
      <c r="C32" s="3">
        <v>6955</v>
      </c>
      <c r="D32" s="3">
        <v>0</v>
      </c>
      <c r="E32" s="3">
        <v>0</v>
      </c>
      <c r="F32" s="3">
        <f>G32</f>
        <v>6005</v>
      </c>
      <c r="G32" s="3">
        <v>6005</v>
      </c>
      <c r="H32" s="5">
        <v>5041</v>
      </c>
    </row>
    <row r="33" spans="1:9" ht="15" customHeight="1" x14ac:dyDescent="0.25">
      <c r="A33" s="1" t="s">
        <v>1158</v>
      </c>
      <c r="B33" s="1" t="s">
        <v>2</v>
      </c>
      <c r="C33" s="4">
        <v>17580</v>
      </c>
      <c r="D33" s="4">
        <v>0</v>
      </c>
      <c r="E33" s="4">
        <f>SUM(E31:E32)</f>
        <v>4712.5</v>
      </c>
      <c r="F33" s="4">
        <f>SUM(F31:F32)</f>
        <v>15430</v>
      </c>
      <c r="G33" s="6">
        <f>SUM(G31:G32)</f>
        <v>15430</v>
      </c>
      <c r="H33" s="6">
        <f>SUM(H31:H32)</f>
        <v>13266</v>
      </c>
    </row>
    <row r="34" spans="1:9" x14ac:dyDescent="0.25">
      <c r="A34" s="1" t="s">
        <v>2</v>
      </c>
      <c r="B34" s="1" t="s">
        <v>2</v>
      </c>
      <c r="C34" s="1" t="s">
        <v>2</v>
      </c>
      <c r="D34" s="1" t="s">
        <v>2</v>
      </c>
      <c r="E34" s="1"/>
      <c r="F34" s="1"/>
      <c r="G34" s="1" t="s">
        <v>2</v>
      </c>
      <c r="H34" s="1" t="s">
        <v>2</v>
      </c>
    </row>
    <row r="35" spans="1:9" ht="15" customHeight="1" x14ac:dyDescent="0.25">
      <c r="A35" s="1" t="s">
        <v>1159</v>
      </c>
      <c r="B35" s="1" t="s">
        <v>2</v>
      </c>
      <c r="C35" s="4">
        <v>120897</v>
      </c>
      <c r="D35" s="4">
        <v>0</v>
      </c>
      <c r="E35" s="4">
        <f>E28+E33</f>
        <v>4712.5</v>
      </c>
      <c r="F35" s="4">
        <f>F28+F33</f>
        <v>119697</v>
      </c>
      <c r="G35" s="6">
        <f>G33+G28</f>
        <v>119697</v>
      </c>
      <c r="H35" s="6">
        <f>H33+H28</f>
        <v>118497</v>
      </c>
    </row>
    <row r="36" spans="1:9" ht="15" customHeight="1" x14ac:dyDescent="0.25">
      <c r="A36" s="291" t="s">
        <v>2773</v>
      </c>
      <c r="B36" s="291"/>
      <c r="C36" s="294">
        <f>C7+C22-C35</f>
        <v>5732.9700000000012</v>
      </c>
      <c r="D36" s="294">
        <f t="shared" ref="D36:H36" si="0">D7+D22-D35</f>
        <v>5733.25</v>
      </c>
      <c r="E36" s="294">
        <f t="shared" si="0"/>
        <v>1021.2800000000007</v>
      </c>
      <c r="F36" s="294">
        <f t="shared" si="0"/>
        <v>5734.0500000000029</v>
      </c>
      <c r="G36" s="294">
        <f t="shared" si="0"/>
        <v>5732.9700000000012</v>
      </c>
      <c r="H36" s="294">
        <f t="shared" si="0"/>
        <v>7237.0500000000029</v>
      </c>
      <c r="I36" s="291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EBD30-BF43-4CA1-A474-7A222D3DA1B4}">
  <sheetPr>
    <tabColor rgb="FF92D050"/>
    <pageSetUpPr fitToPage="1"/>
  </sheetPr>
  <dimension ref="A1:M45"/>
  <sheetViews>
    <sheetView showGridLines="0" zoomScaleNormal="100" workbookViewId="0">
      <pane ySplit="5" topLeftCell="A1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style="250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4011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H7-F44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2774</v>
      </c>
      <c r="B7" s="291"/>
      <c r="C7" s="294">
        <v>32829.660000000003</v>
      </c>
      <c r="D7" s="294">
        <v>14774.97</v>
      </c>
      <c r="E7" s="294">
        <v>14774.97</v>
      </c>
      <c r="F7" s="294">
        <v>14774.97</v>
      </c>
      <c r="G7" s="294">
        <v>14774.97</v>
      </c>
      <c r="H7" s="294">
        <f>F44</f>
        <v>13.35666666666657</v>
      </c>
      <c r="I7" s="291"/>
    </row>
    <row r="8" spans="1:13" ht="24" x14ac:dyDescent="0.25">
      <c r="A8" s="23" t="s">
        <v>1160</v>
      </c>
      <c r="B8" s="23" t="s">
        <v>2</v>
      </c>
      <c r="C8" s="29"/>
      <c r="D8" s="29"/>
      <c r="E8" s="29"/>
      <c r="F8" s="29"/>
      <c r="G8" s="29"/>
      <c r="H8" s="29"/>
      <c r="I8" s="251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51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51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51"/>
    </row>
    <row r="12" spans="1:13" x14ac:dyDescent="0.25">
      <c r="A12" s="30" t="s">
        <v>2775</v>
      </c>
      <c r="B12" s="30" t="s">
        <v>2409</v>
      </c>
      <c r="C12" s="31">
        <v>0</v>
      </c>
      <c r="D12" s="31">
        <v>0</v>
      </c>
      <c r="E12" s="31">
        <v>0</v>
      </c>
      <c r="F12" s="31">
        <f>E12/9*12</f>
        <v>0</v>
      </c>
      <c r="G12" s="31">
        <v>0</v>
      </c>
      <c r="H12" s="31">
        <v>0</v>
      </c>
      <c r="I12" s="251"/>
    </row>
    <row r="13" spans="1:13" x14ac:dyDescent="0.25">
      <c r="A13" s="30" t="s">
        <v>2776</v>
      </c>
      <c r="B13" s="30" t="s">
        <v>2777</v>
      </c>
      <c r="C13" s="31">
        <v>3896.92</v>
      </c>
      <c r="D13" s="31">
        <v>0</v>
      </c>
      <c r="E13" s="31">
        <v>1832.53</v>
      </c>
      <c r="F13" s="31">
        <f>G13</f>
        <v>3000</v>
      </c>
      <c r="G13" s="31">
        <v>3000</v>
      </c>
      <c r="H13" s="31">
        <v>3000</v>
      </c>
      <c r="I13" s="251"/>
    </row>
    <row r="14" spans="1:13" x14ac:dyDescent="0.25">
      <c r="A14" s="30" t="s">
        <v>2778</v>
      </c>
      <c r="B14" s="30" t="s">
        <v>2779</v>
      </c>
      <c r="C14" s="31">
        <v>0</v>
      </c>
      <c r="D14" s="31">
        <v>0</v>
      </c>
      <c r="E14" s="31">
        <v>0</v>
      </c>
      <c r="F14" s="31">
        <f>E14/9*12</f>
        <v>0</v>
      </c>
      <c r="G14" s="31">
        <v>0</v>
      </c>
      <c r="H14" s="31">
        <v>0</v>
      </c>
      <c r="I14" s="251"/>
    </row>
    <row r="15" spans="1:13" ht="24" x14ac:dyDescent="0.25">
      <c r="A15" s="23" t="s">
        <v>2179</v>
      </c>
      <c r="B15" s="23" t="s">
        <v>2</v>
      </c>
      <c r="C15" s="32">
        <v>3896.92</v>
      </c>
      <c r="D15" s="32">
        <v>0</v>
      </c>
      <c r="E15" s="32">
        <f>SUM(E12:E14)</f>
        <v>1832.53</v>
      </c>
      <c r="F15" s="32">
        <f>SUM(F12:F14)</f>
        <v>3000</v>
      </c>
      <c r="G15" s="32">
        <f>SUM(G12:G14)</f>
        <v>3000</v>
      </c>
      <c r="H15" s="32">
        <f>SUM(H12:H14)</f>
        <v>3000</v>
      </c>
      <c r="I15" s="251"/>
    </row>
    <row r="16" spans="1:13" x14ac:dyDescent="0.25">
      <c r="A16" s="23" t="s">
        <v>2</v>
      </c>
      <c r="B16" s="23" t="s">
        <v>2</v>
      </c>
      <c r="C16" s="23" t="s">
        <v>2</v>
      </c>
      <c r="D16" s="23" t="s">
        <v>2</v>
      </c>
      <c r="E16" s="23"/>
      <c r="F16" s="23"/>
      <c r="G16" s="23" t="s">
        <v>2</v>
      </c>
      <c r="H16" s="23" t="s">
        <v>2</v>
      </c>
      <c r="I16" s="251"/>
    </row>
    <row r="17" spans="1:9" x14ac:dyDescent="0.25">
      <c r="A17" s="23" t="s">
        <v>2780</v>
      </c>
      <c r="B17" s="23" t="s">
        <v>2</v>
      </c>
      <c r="C17" s="29"/>
      <c r="D17" s="29"/>
      <c r="E17" s="29"/>
      <c r="F17" s="29"/>
      <c r="G17" s="29"/>
      <c r="H17" s="29"/>
      <c r="I17" s="251"/>
    </row>
    <row r="18" spans="1:9" x14ac:dyDescent="0.25">
      <c r="A18" s="30" t="s">
        <v>2781</v>
      </c>
      <c r="B18" s="30" t="s">
        <v>2782</v>
      </c>
      <c r="C18" s="31">
        <v>14660.39</v>
      </c>
      <c r="D18" s="31">
        <v>0</v>
      </c>
      <c r="E18" s="31">
        <v>9855.2900000000009</v>
      </c>
      <c r="F18" s="31">
        <f>E18/9*12</f>
        <v>13140.386666666669</v>
      </c>
      <c r="G18" s="31">
        <v>14424.3</v>
      </c>
      <c r="H18" s="31">
        <v>14000</v>
      </c>
      <c r="I18" s="251"/>
    </row>
    <row r="19" spans="1:9" x14ac:dyDescent="0.25">
      <c r="A19" s="23" t="s">
        <v>2783</v>
      </c>
      <c r="B19" s="23" t="s">
        <v>2</v>
      </c>
      <c r="C19" s="32">
        <v>14660.39</v>
      </c>
      <c r="D19" s="32">
        <v>0</v>
      </c>
      <c r="E19" s="32">
        <f>E18</f>
        <v>9855.2900000000009</v>
      </c>
      <c r="F19" s="32">
        <f>F18</f>
        <v>13140.386666666669</v>
      </c>
      <c r="G19" s="32">
        <f>SUM(G18)</f>
        <v>14424.3</v>
      </c>
      <c r="H19" s="32">
        <f>SUM(H18)</f>
        <v>14000</v>
      </c>
      <c r="I19" s="251"/>
    </row>
    <row r="20" spans="1:9" x14ac:dyDescent="0.25">
      <c r="A20" s="23" t="s">
        <v>2</v>
      </c>
      <c r="B20" s="23" t="s">
        <v>2</v>
      </c>
      <c r="C20" s="23" t="s">
        <v>2</v>
      </c>
      <c r="D20" s="23" t="s">
        <v>2</v>
      </c>
      <c r="E20" s="23"/>
      <c r="F20" s="23"/>
      <c r="G20" s="23" t="s">
        <v>2</v>
      </c>
      <c r="H20" s="23" t="s">
        <v>2</v>
      </c>
      <c r="I20" s="251"/>
    </row>
    <row r="21" spans="1:9" ht="24" x14ac:dyDescent="0.25">
      <c r="A21" s="23" t="s">
        <v>2180</v>
      </c>
      <c r="B21" s="23" t="s">
        <v>2</v>
      </c>
      <c r="C21" s="32">
        <v>18557.310000000001</v>
      </c>
      <c r="D21" s="32">
        <v>0</v>
      </c>
      <c r="E21" s="32">
        <f>E15+E19</f>
        <v>11687.820000000002</v>
      </c>
      <c r="F21" s="32">
        <f>F15+F19</f>
        <v>16140.386666666669</v>
      </c>
      <c r="G21" s="32">
        <f>G15+G19</f>
        <v>17424.3</v>
      </c>
      <c r="H21" s="32">
        <f>H15+H19</f>
        <v>17000</v>
      </c>
      <c r="I21" s="251"/>
    </row>
    <row r="22" spans="1:9" x14ac:dyDescent="0.25">
      <c r="A22" s="23" t="s">
        <v>2</v>
      </c>
      <c r="B22" s="23" t="s">
        <v>2</v>
      </c>
      <c r="C22" s="23" t="s">
        <v>2</v>
      </c>
      <c r="D22" s="23" t="s">
        <v>2</v>
      </c>
      <c r="E22" s="23"/>
      <c r="F22" s="23"/>
      <c r="G22" s="23" t="s">
        <v>2</v>
      </c>
      <c r="H22" s="23" t="s">
        <v>2</v>
      </c>
      <c r="I22" s="251"/>
    </row>
    <row r="23" spans="1:9" x14ac:dyDescent="0.25">
      <c r="A23" s="23" t="s">
        <v>2553</v>
      </c>
      <c r="B23" s="23" t="s">
        <v>2</v>
      </c>
      <c r="C23" s="29"/>
      <c r="D23" s="29"/>
      <c r="E23" s="29"/>
      <c r="F23" s="29"/>
      <c r="G23" s="29"/>
      <c r="H23" s="29"/>
      <c r="I23" s="251"/>
    </row>
    <row r="24" spans="1:9" x14ac:dyDescent="0.25">
      <c r="A24" s="23" t="s">
        <v>2724</v>
      </c>
      <c r="B24" s="23" t="s">
        <v>2</v>
      </c>
      <c r="C24" s="29"/>
      <c r="D24" s="29"/>
      <c r="E24" s="29"/>
      <c r="F24" s="29"/>
      <c r="G24" s="29"/>
      <c r="H24" s="29"/>
      <c r="I24" s="251"/>
    </row>
    <row r="25" spans="1:9" x14ac:dyDescent="0.25">
      <c r="A25" s="109" t="s">
        <v>2784</v>
      </c>
      <c r="B25" s="109" t="s">
        <v>2785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f>Transfers!$C$39</f>
        <v>5000</v>
      </c>
      <c r="I25" s="253"/>
    </row>
    <row r="26" spans="1:9" x14ac:dyDescent="0.25">
      <c r="A26" s="23" t="s">
        <v>2725</v>
      </c>
      <c r="B26" s="23" t="s">
        <v>2</v>
      </c>
      <c r="C26" s="32">
        <v>0</v>
      </c>
      <c r="D26" s="32">
        <v>0</v>
      </c>
      <c r="E26" s="32">
        <f>E25</f>
        <v>0</v>
      </c>
      <c r="F26" s="32">
        <f>F25</f>
        <v>0</v>
      </c>
      <c r="G26" s="32">
        <f>SUM(G25)</f>
        <v>0</v>
      </c>
      <c r="H26" s="32">
        <f>SUM(H25)</f>
        <v>5000</v>
      </c>
      <c r="I26" s="251"/>
    </row>
    <row r="27" spans="1:9" x14ac:dyDescent="0.25">
      <c r="A27" s="23" t="s">
        <v>2</v>
      </c>
      <c r="B27" s="23" t="s">
        <v>2</v>
      </c>
      <c r="C27" s="23" t="s">
        <v>2</v>
      </c>
      <c r="D27" s="23" t="s">
        <v>2</v>
      </c>
      <c r="E27" s="23"/>
      <c r="F27" s="23"/>
      <c r="G27" s="23" t="s">
        <v>2</v>
      </c>
      <c r="H27" s="23" t="s">
        <v>2</v>
      </c>
      <c r="I27" s="251"/>
    </row>
    <row r="28" spans="1:9" x14ac:dyDescent="0.25">
      <c r="A28" s="23" t="s">
        <v>2047</v>
      </c>
      <c r="B28" s="23" t="s">
        <v>2</v>
      </c>
      <c r="C28" s="32">
        <v>18557.310000000001</v>
      </c>
      <c r="D28" s="32">
        <v>0</v>
      </c>
      <c r="E28" s="32">
        <f>E21+E26</f>
        <v>11687.820000000002</v>
      </c>
      <c r="F28" s="32">
        <f>F21+F26</f>
        <v>16140.386666666669</v>
      </c>
      <c r="G28" s="32">
        <f>G26+G21</f>
        <v>17424.3</v>
      </c>
      <c r="H28" s="32">
        <f>H26+H21</f>
        <v>22000</v>
      </c>
      <c r="I28" s="251"/>
    </row>
    <row r="29" spans="1:9" ht="15" customHeight="1" x14ac:dyDescent="0.25">
      <c r="A29" s="1" t="s">
        <v>740</v>
      </c>
      <c r="B29" s="1" t="s">
        <v>2</v>
      </c>
      <c r="D29" s="40"/>
      <c r="E29" s="40"/>
      <c r="F29" s="40"/>
    </row>
    <row r="30" spans="1:9" ht="15" customHeight="1" x14ac:dyDescent="0.25">
      <c r="A30" s="1" t="s">
        <v>556</v>
      </c>
      <c r="B30" s="1" t="s">
        <v>2</v>
      </c>
    </row>
    <row r="31" spans="1:9" ht="26.25" customHeight="1" x14ac:dyDescent="0.25">
      <c r="A31" s="1" t="s">
        <v>1161</v>
      </c>
      <c r="B31" s="1" t="s">
        <v>2</v>
      </c>
    </row>
    <row r="32" spans="1:9" ht="15" customHeight="1" x14ac:dyDescent="0.25">
      <c r="A32" s="2" t="s">
        <v>1162</v>
      </c>
      <c r="B32" s="2" t="s">
        <v>1163</v>
      </c>
      <c r="C32" s="3">
        <v>32111.62</v>
      </c>
      <c r="D32" s="3">
        <v>0</v>
      </c>
      <c r="E32" s="3">
        <v>0</v>
      </c>
      <c r="F32" s="3">
        <f>G32</f>
        <v>28000</v>
      </c>
      <c r="G32" s="3">
        <v>28000</v>
      </c>
      <c r="H32" s="5">
        <v>18704.22</v>
      </c>
      <c r="I32" s="250" t="s">
        <v>3987</v>
      </c>
    </row>
    <row r="33" spans="1:9" ht="27.75" customHeight="1" x14ac:dyDescent="0.25">
      <c r="A33" s="1" t="s">
        <v>1164</v>
      </c>
      <c r="B33" s="1" t="s">
        <v>2</v>
      </c>
      <c r="C33" s="4">
        <v>32111.62</v>
      </c>
      <c r="D33" s="4">
        <v>0</v>
      </c>
      <c r="E33" s="4">
        <f>E32</f>
        <v>0</v>
      </c>
      <c r="F33" s="4">
        <f>F32</f>
        <v>28000</v>
      </c>
      <c r="G33" s="6">
        <f>SUM(G32)</f>
        <v>28000</v>
      </c>
      <c r="H33" s="6">
        <f>SUM(H32)</f>
        <v>18704.22</v>
      </c>
    </row>
    <row r="34" spans="1:9" x14ac:dyDescent="0.25">
      <c r="A34" s="1" t="s">
        <v>2</v>
      </c>
      <c r="B34" s="1" t="s">
        <v>2</v>
      </c>
      <c r="C34" s="1" t="s">
        <v>2</v>
      </c>
      <c r="D34" s="1" t="s">
        <v>2</v>
      </c>
      <c r="E34" s="1"/>
      <c r="F34" s="1"/>
      <c r="G34" s="1" t="s">
        <v>2</v>
      </c>
      <c r="H34" s="1" t="s">
        <v>2</v>
      </c>
    </row>
    <row r="35" spans="1:9" ht="15" customHeight="1" x14ac:dyDescent="0.25">
      <c r="A35" s="1" t="s">
        <v>1153</v>
      </c>
      <c r="B35" s="1" t="s">
        <v>2</v>
      </c>
    </row>
    <row r="36" spans="1:9" ht="15" customHeight="1" x14ac:dyDescent="0.25">
      <c r="A36" s="2" t="s">
        <v>1165</v>
      </c>
      <c r="B36" s="2" t="s">
        <v>1166</v>
      </c>
      <c r="C36" s="3">
        <v>4500.38</v>
      </c>
      <c r="D36" s="3">
        <v>0</v>
      </c>
      <c r="E36" s="3">
        <v>0</v>
      </c>
      <c r="F36" s="3">
        <v>2902</v>
      </c>
      <c r="G36" s="3">
        <v>2902</v>
      </c>
      <c r="H36" s="3">
        <v>1068.01</v>
      </c>
    </row>
    <row r="37" spans="1:9" ht="15" customHeight="1" x14ac:dyDescent="0.25">
      <c r="A37" s="1" t="s">
        <v>1158</v>
      </c>
      <c r="B37" s="1" t="s">
        <v>2</v>
      </c>
      <c r="C37" s="4">
        <v>4500.38</v>
      </c>
      <c r="D37" s="4">
        <v>0</v>
      </c>
      <c r="E37" s="4">
        <f>E36</f>
        <v>0</v>
      </c>
      <c r="F37" s="4">
        <f>F36</f>
        <v>2902</v>
      </c>
      <c r="G37" s="6">
        <f>SUM(G36)</f>
        <v>2902</v>
      </c>
      <c r="H37" s="6">
        <f>SUM(H36)</f>
        <v>1068.01</v>
      </c>
    </row>
    <row r="38" spans="1:9" x14ac:dyDescent="0.25">
      <c r="A38" s="1" t="s">
        <v>2</v>
      </c>
      <c r="B38" s="1" t="s">
        <v>2</v>
      </c>
      <c r="C38" s="1" t="s">
        <v>2</v>
      </c>
      <c r="D38" s="1" t="s">
        <v>2</v>
      </c>
      <c r="E38" s="1"/>
      <c r="F38" s="1"/>
      <c r="G38" s="1" t="s">
        <v>2</v>
      </c>
      <c r="H38" s="1" t="s">
        <v>2</v>
      </c>
    </row>
    <row r="39" spans="1:9" ht="15" customHeight="1" x14ac:dyDescent="0.25">
      <c r="A39" s="1" t="s">
        <v>706</v>
      </c>
      <c r="B39" s="1" t="s">
        <v>2</v>
      </c>
    </row>
    <row r="40" spans="1:9" x14ac:dyDescent="0.25">
      <c r="A40" s="109" t="s">
        <v>1167</v>
      </c>
      <c r="B40" s="109" t="s">
        <v>1168</v>
      </c>
      <c r="C40" s="110">
        <v>0</v>
      </c>
      <c r="D40" s="110">
        <v>0</v>
      </c>
      <c r="E40" s="110">
        <v>0</v>
      </c>
      <c r="F40" s="110">
        <v>0</v>
      </c>
      <c r="G40" s="110">
        <v>0</v>
      </c>
      <c r="H40" s="110">
        <f>Transfers!$C$21</f>
        <v>0</v>
      </c>
      <c r="I40" s="253"/>
    </row>
    <row r="41" spans="1:9" ht="15" customHeight="1" x14ac:dyDescent="0.25">
      <c r="A41" s="1" t="s">
        <v>737</v>
      </c>
      <c r="B41" s="1" t="s">
        <v>2</v>
      </c>
      <c r="C41" s="4">
        <v>0</v>
      </c>
      <c r="D41" s="4">
        <v>0</v>
      </c>
      <c r="E41" s="4">
        <f>E40</f>
        <v>0</v>
      </c>
      <c r="F41" s="4">
        <f>F40</f>
        <v>0</v>
      </c>
      <c r="G41" s="6">
        <f>SUM(G40)</f>
        <v>0</v>
      </c>
      <c r="H41" s="6">
        <f>SUM(H40)</f>
        <v>0</v>
      </c>
    </row>
    <row r="42" spans="1:9" x14ac:dyDescent="0.25">
      <c r="A42" s="1" t="s">
        <v>2</v>
      </c>
      <c r="B42" s="1" t="s">
        <v>2</v>
      </c>
      <c r="C42" s="1" t="s">
        <v>2</v>
      </c>
      <c r="D42" s="1" t="s">
        <v>2</v>
      </c>
      <c r="E42" s="1"/>
      <c r="F42" s="1"/>
      <c r="G42" s="1" t="s">
        <v>2</v>
      </c>
      <c r="H42" s="1" t="s">
        <v>2</v>
      </c>
    </row>
    <row r="43" spans="1:9" ht="15" customHeight="1" x14ac:dyDescent="0.25">
      <c r="A43" s="1" t="s">
        <v>1169</v>
      </c>
      <c r="B43" s="1" t="s">
        <v>2</v>
      </c>
      <c r="C43" s="4">
        <v>36612</v>
      </c>
      <c r="D43" s="4">
        <v>0</v>
      </c>
      <c r="E43" s="4">
        <f>E33+E37+E41</f>
        <v>0</v>
      </c>
      <c r="F43" s="4">
        <f>F33+F37+F41</f>
        <v>30902</v>
      </c>
      <c r="G43" s="6">
        <f>G33+G37+G41</f>
        <v>30902</v>
      </c>
      <c r="H43" s="6">
        <f>H33+H37+H41</f>
        <v>19772.23</v>
      </c>
    </row>
    <row r="44" spans="1:9" ht="15" customHeight="1" x14ac:dyDescent="0.25">
      <c r="A44" s="291" t="s">
        <v>2786</v>
      </c>
      <c r="B44" s="291"/>
      <c r="C44" s="294">
        <f>C7+C28-C43</f>
        <v>14774.970000000001</v>
      </c>
      <c r="D44" s="294">
        <f t="shared" ref="D44:H44" si="0">D7+D28-D43</f>
        <v>14774.97</v>
      </c>
      <c r="E44" s="294">
        <f t="shared" si="0"/>
        <v>26462.79</v>
      </c>
      <c r="F44" s="294">
        <f t="shared" si="0"/>
        <v>13.35666666666657</v>
      </c>
      <c r="G44" s="294">
        <f t="shared" si="0"/>
        <v>1297.2699999999968</v>
      </c>
      <c r="H44" s="294">
        <f t="shared" si="0"/>
        <v>2241.126666666667</v>
      </c>
      <c r="I44" s="291"/>
    </row>
    <row r="45" spans="1:9" x14ac:dyDescent="0.25">
      <c r="A45" s="1" t="s">
        <v>2</v>
      </c>
      <c r="B45" s="1" t="s">
        <v>2</v>
      </c>
      <c r="C45" s="1" t="s">
        <v>2</v>
      </c>
      <c r="D45" s="1" t="s">
        <v>2</v>
      </c>
      <c r="E45" s="1"/>
      <c r="F45" s="1"/>
      <c r="G45" s="1" t="s">
        <v>2</v>
      </c>
      <c r="H45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D0A54-890C-498B-92B2-4C4F4B80FA47}">
  <sheetPr>
    <tabColor rgb="FF92D050"/>
    <pageSetUpPr fitToPage="1"/>
  </sheetPr>
  <dimension ref="A1:M21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4010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H7-F19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2787</v>
      </c>
      <c r="B7" s="291" t="s">
        <v>2</v>
      </c>
      <c r="C7" s="294">
        <v>29799.599999999999</v>
      </c>
      <c r="D7" s="294">
        <v>29831.03</v>
      </c>
      <c r="E7" s="294">
        <v>29831.03</v>
      </c>
      <c r="F7" s="294">
        <v>29831.03</v>
      </c>
      <c r="G7" s="294">
        <v>29831.03</v>
      </c>
      <c r="H7" s="294">
        <f>F19</f>
        <v>29917.203333333331</v>
      </c>
      <c r="I7" s="291"/>
    </row>
    <row r="8" spans="1:13" ht="24" x14ac:dyDescent="0.25">
      <c r="A8" s="23" t="s">
        <v>1170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2788</v>
      </c>
      <c r="B12" s="30" t="s">
        <v>2409</v>
      </c>
      <c r="C12" s="31">
        <v>31.43</v>
      </c>
      <c r="D12" s="31">
        <v>21.94</v>
      </c>
      <c r="E12" s="31">
        <v>64.63</v>
      </c>
      <c r="F12" s="31">
        <f>E12/9*12</f>
        <v>86.173333333333332</v>
      </c>
      <c r="G12" s="31">
        <v>0</v>
      </c>
      <c r="H12" s="31">
        <v>0</v>
      </c>
      <c r="I12" s="29"/>
    </row>
    <row r="13" spans="1:13" ht="24" x14ac:dyDescent="0.25">
      <c r="A13" s="23" t="s">
        <v>2179</v>
      </c>
      <c r="B13" s="23" t="s">
        <v>2</v>
      </c>
      <c r="C13" s="32">
        <v>31.43</v>
      </c>
      <c r="D13" s="32">
        <v>21.94</v>
      </c>
      <c r="E13" s="32">
        <f>E12</f>
        <v>64.63</v>
      </c>
      <c r="F13" s="32">
        <f>F12</f>
        <v>86.173333333333332</v>
      </c>
      <c r="G13" s="32">
        <f>SUM(G12)</f>
        <v>0</v>
      </c>
      <c r="H13" s="32">
        <f>SUM(H12)</f>
        <v>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x14ac:dyDescent="0.25">
      <c r="A15" s="23" t="s">
        <v>2047</v>
      </c>
      <c r="B15" s="23" t="s">
        <v>2</v>
      </c>
      <c r="C15" s="32">
        <v>31.43</v>
      </c>
      <c r="D15" s="32">
        <v>21.94</v>
      </c>
      <c r="E15" s="32">
        <f>E13</f>
        <v>64.63</v>
      </c>
      <c r="F15" s="32">
        <f>F13</f>
        <v>86.173333333333332</v>
      </c>
      <c r="G15" s="32">
        <f>G13</f>
        <v>0</v>
      </c>
      <c r="H15" s="32">
        <f>H13</f>
        <v>0</v>
      </c>
      <c r="I15" s="29"/>
    </row>
    <row r="16" spans="1:13" ht="15" customHeight="1" x14ac:dyDescent="0.25">
      <c r="A16" s="1" t="s">
        <v>740</v>
      </c>
      <c r="B16" s="1" t="s">
        <v>2</v>
      </c>
      <c r="C16" s="40"/>
    </row>
    <row r="17" spans="1:9" ht="15" customHeight="1" x14ac:dyDescent="0.25">
      <c r="A17" s="109" t="s">
        <v>1171</v>
      </c>
      <c r="B17" s="109" t="s">
        <v>1172</v>
      </c>
      <c r="C17" s="110">
        <v>0</v>
      </c>
      <c r="D17" s="110">
        <v>0</v>
      </c>
      <c r="E17" s="110">
        <v>0</v>
      </c>
      <c r="F17" s="110">
        <v>0</v>
      </c>
      <c r="G17" s="110">
        <v>0</v>
      </c>
      <c r="H17" s="110">
        <f>Transfers!$C$39</f>
        <v>5000</v>
      </c>
      <c r="I17" s="108"/>
    </row>
    <row r="18" spans="1:9" ht="15" customHeight="1" x14ac:dyDescent="0.25">
      <c r="A18" s="1" t="s">
        <v>1173</v>
      </c>
      <c r="B18" s="1" t="s">
        <v>2</v>
      </c>
      <c r="C18" s="4">
        <v>0</v>
      </c>
      <c r="D18" s="4">
        <v>0</v>
      </c>
      <c r="E18" s="4">
        <f>E17</f>
        <v>0</v>
      </c>
      <c r="F18" s="4">
        <f>F17</f>
        <v>0</v>
      </c>
      <c r="G18" s="6">
        <f>SUM(G17)</f>
        <v>0</v>
      </c>
      <c r="H18" s="6">
        <f>SUM(H17)</f>
        <v>5000</v>
      </c>
    </row>
    <row r="19" spans="1:9" ht="15" customHeight="1" x14ac:dyDescent="0.25">
      <c r="A19" s="291" t="s">
        <v>2789</v>
      </c>
      <c r="B19" s="291"/>
      <c r="C19" s="294">
        <f>C7+C15-C18</f>
        <v>29831.03</v>
      </c>
      <c r="D19" s="294">
        <f t="shared" ref="D19:H19" si="0">D7+D15-D18</f>
        <v>29852.969999999998</v>
      </c>
      <c r="E19" s="294">
        <f t="shared" si="0"/>
        <v>29895.66</v>
      </c>
      <c r="F19" s="294">
        <f t="shared" si="0"/>
        <v>29917.203333333331</v>
      </c>
      <c r="G19" s="294">
        <f t="shared" si="0"/>
        <v>29831.03</v>
      </c>
      <c r="H19" s="294">
        <f t="shared" si="0"/>
        <v>24917.203333333331</v>
      </c>
      <c r="I19" s="291"/>
    </row>
    <row r="20" spans="1:9" x14ac:dyDescent="0.25">
      <c r="A20" s="1" t="s">
        <v>2</v>
      </c>
      <c r="B20" s="1" t="s">
        <v>2</v>
      </c>
      <c r="C20" s="1" t="s">
        <v>2</v>
      </c>
      <c r="D20" s="1" t="s">
        <v>2</v>
      </c>
      <c r="E20" s="1"/>
      <c r="F20" s="1"/>
      <c r="G20" s="1" t="s">
        <v>2</v>
      </c>
      <c r="H20" s="1" t="s">
        <v>2</v>
      </c>
    </row>
    <row r="21" spans="1:9" x14ac:dyDescent="0.25">
      <c r="B21" s="1"/>
      <c r="C21" s="4"/>
      <c r="D21" s="4"/>
      <c r="E21" s="4"/>
      <c r="F21" s="4"/>
      <c r="G21" s="4"/>
      <c r="H21" s="4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40B0-2452-4756-BDE2-167C3EECB689}">
  <sheetPr>
    <tabColor rgb="FF92D050"/>
    <pageSetUpPr fitToPage="1"/>
  </sheetPr>
  <dimension ref="A1:M32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4009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H7-F31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2790</v>
      </c>
      <c r="B7" s="291" t="s">
        <v>2</v>
      </c>
      <c r="C7" s="294">
        <v>153.15</v>
      </c>
      <c r="D7" s="294">
        <v>153.27000000000001</v>
      </c>
      <c r="E7" s="294">
        <v>153.27000000000001</v>
      </c>
      <c r="F7" s="294">
        <v>153.27000000000001</v>
      </c>
      <c r="G7" s="294">
        <v>153.27000000000001</v>
      </c>
      <c r="H7" s="294">
        <f>F31</f>
        <v>153.55000000000001</v>
      </c>
      <c r="I7" s="291"/>
    </row>
    <row r="8" spans="1:13" x14ac:dyDescent="0.25">
      <c r="A8" s="23" t="s">
        <v>1174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2791</v>
      </c>
      <c r="B12" s="30" t="s">
        <v>2409</v>
      </c>
      <c r="C12" s="31">
        <v>0.12</v>
      </c>
      <c r="D12" s="31">
        <v>0.08</v>
      </c>
      <c r="E12" s="31">
        <v>0.21</v>
      </c>
      <c r="F12" s="31">
        <f>E12/9*12</f>
        <v>0.27999999999999997</v>
      </c>
      <c r="G12" s="31">
        <v>0</v>
      </c>
      <c r="H12" s="31">
        <v>0</v>
      </c>
      <c r="I12" s="29"/>
    </row>
    <row r="13" spans="1:13" ht="24" x14ac:dyDescent="0.25">
      <c r="A13" s="23" t="s">
        <v>2179</v>
      </c>
      <c r="B13" s="23" t="s">
        <v>2</v>
      </c>
      <c r="C13" s="32">
        <v>0.12</v>
      </c>
      <c r="D13" s="32">
        <v>0.08</v>
      </c>
      <c r="E13" s="32">
        <f>E12</f>
        <v>0.21</v>
      </c>
      <c r="F13" s="32">
        <f>F12</f>
        <v>0.27999999999999997</v>
      </c>
      <c r="G13" s="32">
        <f>SUM(G12)</f>
        <v>0</v>
      </c>
      <c r="H13" s="32">
        <f>SUM(H12)</f>
        <v>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x14ac:dyDescent="0.25">
      <c r="A15" s="23" t="s">
        <v>2724</v>
      </c>
      <c r="B15" s="23" t="s">
        <v>2</v>
      </c>
      <c r="C15" s="29"/>
      <c r="D15" s="29"/>
      <c r="E15" s="29"/>
      <c r="F15" s="29"/>
      <c r="G15" s="29"/>
      <c r="H15" s="29"/>
      <c r="I15" s="29"/>
    </row>
    <row r="16" spans="1:13" x14ac:dyDescent="0.25">
      <c r="A16" s="109" t="s">
        <v>2792</v>
      </c>
      <c r="B16" s="109" t="s">
        <v>2793</v>
      </c>
      <c r="C16" s="110">
        <v>77066.22</v>
      </c>
      <c r="D16" s="110">
        <v>0</v>
      </c>
      <c r="E16" s="110">
        <v>0</v>
      </c>
      <c r="F16" s="110">
        <v>0</v>
      </c>
      <c r="G16" s="110">
        <v>0</v>
      </c>
      <c r="H16" s="110">
        <f>Transfers!$C$40</f>
        <v>0</v>
      </c>
      <c r="I16" s="108"/>
    </row>
    <row r="17" spans="1:9" x14ac:dyDescent="0.25">
      <c r="A17" s="23" t="s">
        <v>2725</v>
      </c>
      <c r="B17" s="23" t="s">
        <v>2</v>
      </c>
      <c r="C17" s="32">
        <v>77066.22</v>
      </c>
      <c r="D17" s="32">
        <v>0</v>
      </c>
      <c r="E17" s="32">
        <f>E16</f>
        <v>0</v>
      </c>
      <c r="F17" s="32">
        <f>F16</f>
        <v>0</v>
      </c>
      <c r="G17" s="32">
        <f>SUM(G16)</f>
        <v>0</v>
      </c>
      <c r="H17" s="32">
        <f>SUM(H16)</f>
        <v>0</v>
      </c>
      <c r="I17" s="29"/>
    </row>
    <row r="18" spans="1:9" x14ac:dyDescent="0.25">
      <c r="A18" s="23" t="s">
        <v>2</v>
      </c>
      <c r="B18" s="23" t="s">
        <v>2</v>
      </c>
      <c r="C18" s="23" t="s">
        <v>2</v>
      </c>
      <c r="D18" s="23" t="s">
        <v>2</v>
      </c>
      <c r="E18" s="23"/>
      <c r="F18" s="23"/>
      <c r="G18" s="23" t="s">
        <v>2</v>
      </c>
      <c r="H18" s="23" t="s">
        <v>2</v>
      </c>
      <c r="I18" s="29"/>
    </row>
    <row r="19" spans="1:9" x14ac:dyDescent="0.25">
      <c r="A19" s="23" t="s">
        <v>2047</v>
      </c>
      <c r="B19" s="23" t="s">
        <v>2</v>
      </c>
      <c r="C19" s="32">
        <v>77066.34</v>
      </c>
      <c r="D19" s="32">
        <v>0.08</v>
      </c>
      <c r="E19" s="32">
        <f>E13+E17</f>
        <v>0.21</v>
      </c>
      <c r="F19" s="32">
        <f>F13+F17</f>
        <v>0.27999999999999997</v>
      </c>
      <c r="G19" s="32">
        <f>G13+G17</f>
        <v>0</v>
      </c>
      <c r="H19" s="32">
        <f>H13+H17</f>
        <v>0</v>
      </c>
      <c r="I19" s="29"/>
    </row>
    <row r="20" spans="1:9" ht="15" customHeight="1" x14ac:dyDescent="0.25">
      <c r="A20" s="1" t="s">
        <v>740</v>
      </c>
      <c r="B20" s="1" t="s">
        <v>2</v>
      </c>
      <c r="C20" s="40"/>
      <c r="D20" s="40"/>
      <c r="E20" s="40"/>
      <c r="F20" s="40"/>
      <c r="G20" s="40"/>
    </row>
    <row r="21" spans="1:9" ht="15" customHeight="1" x14ac:dyDescent="0.25">
      <c r="A21" s="1" t="s">
        <v>556</v>
      </c>
      <c r="B21" s="1" t="s">
        <v>2</v>
      </c>
    </row>
    <row r="22" spans="1:9" ht="29.25" customHeight="1" x14ac:dyDescent="0.25">
      <c r="A22" s="1" t="s">
        <v>1161</v>
      </c>
      <c r="B22" s="1" t="s">
        <v>2</v>
      </c>
    </row>
    <row r="23" spans="1:9" ht="15" customHeight="1" x14ac:dyDescent="0.25">
      <c r="A23" s="2" t="s">
        <v>1175</v>
      </c>
      <c r="B23" s="2" t="s">
        <v>1163</v>
      </c>
      <c r="C23" s="3">
        <v>74169.600000000006</v>
      </c>
      <c r="D23" s="3">
        <v>0</v>
      </c>
      <c r="E23" s="3">
        <v>0</v>
      </c>
      <c r="F23" s="3">
        <f>E23/9*12</f>
        <v>0</v>
      </c>
      <c r="G23" s="3">
        <v>0</v>
      </c>
      <c r="H23" s="5">
        <v>0</v>
      </c>
    </row>
    <row r="24" spans="1:9" ht="27.75" customHeight="1" x14ac:dyDescent="0.25">
      <c r="A24" s="1" t="s">
        <v>1164</v>
      </c>
      <c r="B24" s="1" t="s">
        <v>2</v>
      </c>
      <c r="C24" s="4">
        <v>74169.600000000006</v>
      </c>
      <c r="D24" s="4">
        <v>0</v>
      </c>
      <c r="E24" s="4">
        <f>E23</f>
        <v>0</v>
      </c>
      <c r="F24" s="4">
        <f>F23</f>
        <v>0</v>
      </c>
      <c r="G24" s="6">
        <f>SUM(G23)</f>
        <v>0</v>
      </c>
      <c r="H24" s="6">
        <f>SUM(H23)</f>
        <v>0</v>
      </c>
    </row>
    <row r="25" spans="1:9" x14ac:dyDescent="0.25">
      <c r="A25" s="1" t="s">
        <v>2</v>
      </c>
      <c r="B25" s="1" t="s">
        <v>2</v>
      </c>
      <c r="C25" s="1" t="s">
        <v>2</v>
      </c>
      <c r="D25" s="1" t="s">
        <v>2</v>
      </c>
      <c r="E25" s="1"/>
      <c r="F25" s="1"/>
      <c r="G25" s="1" t="s">
        <v>2</v>
      </c>
      <c r="H25" s="1" t="s">
        <v>2</v>
      </c>
    </row>
    <row r="26" spans="1:9" ht="15" customHeight="1" x14ac:dyDescent="0.25">
      <c r="A26" s="1" t="s">
        <v>1153</v>
      </c>
      <c r="B26" s="1" t="s">
        <v>2</v>
      </c>
    </row>
    <row r="27" spans="1:9" ht="15" customHeight="1" x14ac:dyDescent="0.25">
      <c r="A27" s="2" t="s">
        <v>1176</v>
      </c>
      <c r="B27" s="2" t="s">
        <v>1166</v>
      </c>
      <c r="C27" s="3">
        <v>2896.62</v>
      </c>
      <c r="D27" s="3">
        <v>0</v>
      </c>
      <c r="E27" s="3">
        <v>0</v>
      </c>
      <c r="F27" s="3">
        <f>E27/9*12</f>
        <v>0</v>
      </c>
      <c r="G27" s="3">
        <v>0</v>
      </c>
      <c r="H27" s="5">
        <v>0</v>
      </c>
    </row>
    <row r="28" spans="1:9" ht="15" customHeight="1" x14ac:dyDescent="0.25">
      <c r="A28" s="1" t="s">
        <v>1158</v>
      </c>
      <c r="B28" s="1" t="s">
        <v>2</v>
      </c>
      <c r="C28" s="4">
        <v>2896.62</v>
      </c>
      <c r="D28" s="4">
        <v>0</v>
      </c>
      <c r="E28" s="4">
        <f>E27</f>
        <v>0</v>
      </c>
      <c r="F28" s="4">
        <f>F27</f>
        <v>0</v>
      </c>
      <c r="G28" s="6">
        <f>SUM(G27)</f>
        <v>0</v>
      </c>
      <c r="H28" s="6">
        <f>SUM(H27)</f>
        <v>0</v>
      </c>
    </row>
    <row r="29" spans="1:9" x14ac:dyDescent="0.25">
      <c r="A29" s="1" t="s">
        <v>2</v>
      </c>
      <c r="B29" s="1" t="s">
        <v>2</v>
      </c>
      <c r="C29" s="1" t="s">
        <v>2</v>
      </c>
      <c r="D29" s="1" t="s">
        <v>2</v>
      </c>
      <c r="E29" s="1"/>
      <c r="F29" s="1"/>
      <c r="G29" s="1" t="s">
        <v>2</v>
      </c>
      <c r="H29" s="1" t="s">
        <v>2</v>
      </c>
    </row>
    <row r="30" spans="1:9" ht="15" customHeight="1" x14ac:dyDescent="0.25">
      <c r="A30" s="1" t="s">
        <v>1177</v>
      </c>
      <c r="B30" s="1" t="s">
        <v>2</v>
      </c>
      <c r="C30" s="4">
        <v>77066.22</v>
      </c>
      <c r="D30" s="4">
        <v>0</v>
      </c>
      <c r="E30" s="4">
        <f>E24+E28</f>
        <v>0</v>
      </c>
      <c r="F30" s="4">
        <f>F24+F28</f>
        <v>0</v>
      </c>
      <c r="G30" s="6">
        <f>G28+G24</f>
        <v>0</v>
      </c>
      <c r="H30" s="6">
        <f>H28+H24</f>
        <v>0</v>
      </c>
    </row>
    <row r="31" spans="1:9" ht="15" customHeight="1" x14ac:dyDescent="0.25">
      <c r="A31" s="291" t="s">
        <v>2794</v>
      </c>
      <c r="B31" s="291" t="s">
        <v>2</v>
      </c>
      <c r="C31" s="294">
        <f>C7+C19-C30</f>
        <v>153.26999999998952</v>
      </c>
      <c r="D31" s="294">
        <f t="shared" ref="D31:H31" si="0">D7+D19-D30</f>
        <v>153.35000000000002</v>
      </c>
      <c r="E31" s="294">
        <f t="shared" si="0"/>
        <v>153.48000000000002</v>
      </c>
      <c r="F31" s="294">
        <f t="shared" si="0"/>
        <v>153.55000000000001</v>
      </c>
      <c r="G31" s="294">
        <f t="shared" si="0"/>
        <v>153.27000000000001</v>
      </c>
      <c r="H31" s="294">
        <f t="shared" si="0"/>
        <v>153.55000000000001</v>
      </c>
      <c r="I31" s="291"/>
    </row>
    <row r="32" spans="1:9" x14ac:dyDescent="0.25">
      <c r="A32" s="1" t="s">
        <v>2</v>
      </c>
      <c r="B32" s="1" t="s">
        <v>2</v>
      </c>
      <c r="C32" s="36"/>
      <c r="D32" s="36"/>
      <c r="E32" s="36"/>
      <c r="F32" s="36"/>
      <c r="G32" s="36"/>
      <c r="H32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9B1C5-D2A8-4B4A-82C6-435DE5EDDFFB}">
  <sheetPr>
    <tabColor rgb="FF92D050"/>
  </sheetPr>
  <dimension ref="A1:D23"/>
  <sheetViews>
    <sheetView workbookViewId="0">
      <selection activeCell="C5" sqref="C5"/>
    </sheetView>
  </sheetViews>
  <sheetFormatPr defaultColWidth="9.140625" defaultRowHeight="15" x14ac:dyDescent="0.25"/>
  <cols>
    <col min="1" max="2" width="26" style="94" customWidth="1"/>
    <col min="3" max="3" width="11.5703125" style="94" bestFit="1" customWidth="1"/>
    <col min="4" max="16384" width="9.140625" style="94"/>
  </cols>
  <sheetData>
    <row r="1" spans="1:4" x14ac:dyDescent="0.25">
      <c r="A1" s="100" t="s">
        <v>3536</v>
      </c>
      <c r="B1" s="100"/>
    </row>
    <row r="2" spans="1:4" x14ac:dyDescent="0.25">
      <c r="A2" s="94" t="s">
        <v>3535</v>
      </c>
    </row>
    <row r="4" spans="1:4" x14ac:dyDescent="0.25">
      <c r="A4" s="99" t="s">
        <v>3517</v>
      </c>
      <c r="B4" s="99" t="s">
        <v>1</v>
      </c>
      <c r="C4" s="99" t="s">
        <v>3518</v>
      </c>
    </row>
    <row r="5" spans="1:4" x14ac:dyDescent="0.25">
      <c r="A5" s="93" t="s">
        <v>42</v>
      </c>
      <c r="B5" s="93" t="s">
        <v>3533</v>
      </c>
      <c r="C5" s="98">
        <v>4490.8539189189196</v>
      </c>
      <c r="D5" s="96"/>
    </row>
    <row r="6" spans="1:4" x14ac:dyDescent="0.25">
      <c r="A6" s="93" t="s">
        <v>91</v>
      </c>
      <c r="B6" s="93" t="s">
        <v>3532</v>
      </c>
      <c r="C6" s="97">
        <v>0</v>
      </c>
      <c r="D6" s="96"/>
    </row>
    <row r="7" spans="1:4" x14ac:dyDescent="0.25">
      <c r="A7" s="93" t="s">
        <v>117</v>
      </c>
      <c r="B7" s="93" t="s">
        <v>3531</v>
      </c>
      <c r="C7" s="97">
        <v>0</v>
      </c>
      <c r="D7" s="96"/>
    </row>
    <row r="8" spans="1:4" x14ac:dyDescent="0.25">
      <c r="A8" s="93" t="s">
        <v>199</v>
      </c>
      <c r="B8" s="93" t="s">
        <v>3529</v>
      </c>
      <c r="C8" s="97">
        <v>9393.9078378378381</v>
      </c>
      <c r="D8" s="96"/>
    </row>
    <row r="9" spans="1:4" x14ac:dyDescent="0.25">
      <c r="A9" s="93" t="s">
        <v>370</v>
      </c>
      <c r="B9" s="93" t="s">
        <v>3528</v>
      </c>
      <c r="C9" s="97">
        <v>216318.87148648652</v>
      </c>
      <c r="D9" s="96"/>
    </row>
    <row r="10" spans="1:4" x14ac:dyDescent="0.25">
      <c r="A10" s="93" t="s">
        <v>371</v>
      </c>
      <c r="B10" s="93" t="s">
        <v>3528</v>
      </c>
      <c r="C10" s="97">
        <v>179820.86000000002</v>
      </c>
      <c r="D10" s="96"/>
    </row>
    <row r="11" spans="1:4" x14ac:dyDescent="0.25">
      <c r="A11" s="93" t="s">
        <v>465</v>
      </c>
      <c r="B11" s="93" t="s">
        <v>3526</v>
      </c>
      <c r="C11" s="97">
        <v>15259.501756756759</v>
      </c>
      <c r="D11" s="96"/>
    </row>
    <row r="12" spans="1:4" x14ac:dyDescent="0.25">
      <c r="A12" s="93" t="s">
        <v>520</v>
      </c>
      <c r="B12" s="93" t="s">
        <v>3538</v>
      </c>
      <c r="C12" s="97">
        <v>2319.9700000000003</v>
      </c>
      <c r="D12" s="96"/>
    </row>
    <row r="13" spans="1:4" x14ac:dyDescent="0.25">
      <c r="A13" s="93" t="s">
        <v>545</v>
      </c>
      <c r="B13" s="93" t="s">
        <v>3525</v>
      </c>
      <c r="C13" s="97">
        <v>9123.7239189189168</v>
      </c>
      <c r="D13" s="96"/>
    </row>
    <row r="14" spans="1:4" x14ac:dyDescent="0.25">
      <c r="A14" s="93" t="s">
        <v>597</v>
      </c>
      <c r="B14" s="93" t="s">
        <v>3524</v>
      </c>
      <c r="C14" s="97">
        <v>17660.705614864863</v>
      </c>
      <c r="D14" s="96"/>
    </row>
    <row r="15" spans="1:4" x14ac:dyDescent="0.25">
      <c r="A15" s="93" t="s">
        <v>671</v>
      </c>
      <c r="B15" s="93" t="s">
        <v>3523</v>
      </c>
      <c r="C15" s="97">
        <v>977.84</v>
      </c>
      <c r="D15" s="96"/>
    </row>
    <row r="16" spans="1:4" x14ac:dyDescent="0.25">
      <c r="A16" s="93" t="s">
        <v>908</v>
      </c>
      <c r="B16" s="93" t="s">
        <v>3522</v>
      </c>
      <c r="C16" s="97">
        <v>86909.759772522521</v>
      </c>
      <c r="D16" s="96"/>
    </row>
    <row r="17" spans="1:4" x14ac:dyDescent="0.25">
      <c r="A17" s="93" t="s">
        <v>1282</v>
      </c>
      <c r="B17" s="93" t="s">
        <v>3521</v>
      </c>
      <c r="C17" s="97">
        <v>77322.258651801792</v>
      </c>
      <c r="D17" s="96"/>
    </row>
    <row r="18" spans="1:4" x14ac:dyDescent="0.25">
      <c r="A18" s="93" t="s">
        <v>1479</v>
      </c>
      <c r="B18" s="93" t="s">
        <v>3520</v>
      </c>
      <c r="C18" s="97">
        <v>61839.343007657655</v>
      </c>
      <c r="D18" s="96"/>
    </row>
    <row r="19" spans="1:4" x14ac:dyDescent="0.25">
      <c r="A19" s="93" t="s">
        <v>1726</v>
      </c>
      <c r="B19" s="93" t="s">
        <v>3537</v>
      </c>
      <c r="C19" s="97">
        <v>51207.724034234227</v>
      </c>
      <c r="D19" s="96"/>
    </row>
    <row r="20" spans="1:4" x14ac:dyDescent="0.25">
      <c r="A20" s="93"/>
      <c r="B20" s="93"/>
      <c r="C20" s="101"/>
      <c r="D20" s="96"/>
    </row>
    <row r="21" spans="1:4" x14ac:dyDescent="0.25">
      <c r="C21" s="95">
        <f>SUM(C5:C20)</f>
        <v>732645.32000000007</v>
      </c>
    </row>
    <row r="23" spans="1:4" x14ac:dyDescent="0.25">
      <c r="C23" s="95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83D72-D9E0-43FF-BD10-CC2EBAB87C3E}">
  <sheetPr>
    <tabColor rgb="FF92D050"/>
    <pageSetUpPr fitToPage="1"/>
  </sheetPr>
  <dimension ref="A1:M51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4008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H7-F50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2795</v>
      </c>
      <c r="B7" s="291"/>
      <c r="C7" s="294">
        <v>-230675.54</v>
      </c>
      <c r="D7" s="294">
        <v>14573.03</v>
      </c>
      <c r="E7" s="294">
        <v>14573.03</v>
      </c>
      <c r="F7" s="294">
        <v>14573.03</v>
      </c>
      <c r="G7" s="294">
        <v>14573.03</v>
      </c>
      <c r="H7" s="294">
        <f>F50</f>
        <v>13876.390000000014</v>
      </c>
      <c r="I7" s="291"/>
    </row>
    <row r="8" spans="1:13" ht="28.5" customHeight="1" x14ac:dyDescent="0.25">
      <c r="A8" s="23" t="s">
        <v>2815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/>
      <c r="B10" s="23"/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2102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23" t="s">
        <v>2796</v>
      </c>
      <c r="B12" s="23" t="s">
        <v>2</v>
      </c>
      <c r="C12" s="29"/>
      <c r="D12" s="29"/>
      <c r="E12" s="29"/>
      <c r="F12" s="29"/>
      <c r="G12" s="29"/>
      <c r="H12" s="29"/>
      <c r="I12" s="29"/>
    </row>
    <row r="13" spans="1:13" x14ac:dyDescent="0.25">
      <c r="A13" s="30" t="s">
        <v>2797</v>
      </c>
      <c r="B13" s="30" t="s">
        <v>2798</v>
      </c>
      <c r="C13" s="31">
        <v>4045.29</v>
      </c>
      <c r="D13" s="31">
        <v>0</v>
      </c>
      <c r="E13" s="31">
        <v>0</v>
      </c>
      <c r="F13" s="31">
        <f>E13/9*12</f>
        <v>0</v>
      </c>
      <c r="G13" s="31">
        <v>0</v>
      </c>
      <c r="H13" s="31">
        <v>0</v>
      </c>
      <c r="I13" s="29"/>
    </row>
    <row r="14" spans="1:13" x14ac:dyDescent="0.25">
      <c r="A14" s="23" t="s">
        <v>2799</v>
      </c>
      <c r="B14" s="23" t="s">
        <v>2</v>
      </c>
      <c r="C14" s="32">
        <v>4045.29</v>
      </c>
      <c r="D14" s="32">
        <v>0</v>
      </c>
      <c r="E14" s="32">
        <f>E13</f>
        <v>0</v>
      </c>
      <c r="F14" s="32">
        <f>F13</f>
        <v>0</v>
      </c>
      <c r="G14" s="32">
        <f>SUM(G13)</f>
        <v>0</v>
      </c>
      <c r="H14" s="32">
        <f>SUM(H13)</f>
        <v>0</v>
      </c>
      <c r="I14" s="29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29"/>
    </row>
    <row r="16" spans="1:13" x14ac:dyDescent="0.25">
      <c r="A16" s="23" t="s">
        <v>2175</v>
      </c>
      <c r="B16" s="23" t="s">
        <v>2</v>
      </c>
      <c r="C16" s="29"/>
      <c r="D16" s="29"/>
      <c r="E16" s="29"/>
      <c r="F16" s="29"/>
      <c r="G16" s="29"/>
      <c r="H16" s="29"/>
      <c r="I16" s="29"/>
    </row>
    <row r="17" spans="1:9" x14ac:dyDescent="0.25">
      <c r="A17" s="23" t="s">
        <v>2176</v>
      </c>
      <c r="B17" s="23" t="s">
        <v>2</v>
      </c>
      <c r="C17" s="29"/>
      <c r="D17" s="29"/>
      <c r="E17" s="29"/>
      <c r="F17" s="29"/>
      <c r="G17" s="29"/>
      <c r="H17" s="29"/>
      <c r="I17" s="29"/>
    </row>
    <row r="18" spans="1:9" x14ac:dyDescent="0.25">
      <c r="A18" s="30" t="s">
        <v>2800</v>
      </c>
      <c r="B18" s="30" t="s">
        <v>2409</v>
      </c>
      <c r="C18" s="31">
        <v>0.85</v>
      </c>
      <c r="D18" s="31">
        <v>0.6</v>
      </c>
      <c r="E18" s="31">
        <v>1.77</v>
      </c>
      <c r="F18" s="31">
        <f>E18/9*12</f>
        <v>2.36</v>
      </c>
      <c r="G18" s="31">
        <v>0</v>
      </c>
      <c r="H18" s="31">
        <v>0</v>
      </c>
      <c r="I18" s="29"/>
    </row>
    <row r="19" spans="1:9" ht="24" x14ac:dyDescent="0.25">
      <c r="A19" s="23" t="s">
        <v>2179</v>
      </c>
      <c r="B19" s="23" t="s">
        <v>2</v>
      </c>
      <c r="C19" s="32">
        <v>0.85</v>
      </c>
      <c r="D19" s="32">
        <v>0.6</v>
      </c>
      <c r="E19" s="32">
        <f>E18</f>
        <v>1.77</v>
      </c>
      <c r="F19" s="32">
        <f>F18</f>
        <v>2.36</v>
      </c>
      <c r="G19" s="32">
        <f>SUM(G18)</f>
        <v>0</v>
      </c>
      <c r="H19" s="32">
        <f>SUM(H18)</f>
        <v>0</v>
      </c>
      <c r="I19" s="29"/>
    </row>
    <row r="20" spans="1:9" x14ac:dyDescent="0.25">
      <c r="A20" s="23" t="s">
        <v>2</v>
      </c>
      <c r="B20" s="23" t="s">
        <v>2</v>
      </c>
      <c r="C20" s="23" t="s">
        <v>2</v>
      </c>
      <c r="D20" s="23" t="s">
        <v>2</v>
      </c>
      <c r="E20" s="23"/>
      <c r="F20" s="23"/>
      <c r="G20" s="23" t="s">
        <v>2</v>
      </c>
      <c r="H20" s="23" t="s">
        <v>2</v>
      </c>
      <c r="I20" s="29"/>
    </row>
    <row r="21" spans="1:9" x14ac:dyDescent="0.25">
      <c r="A21" s="30" t="s">
        <v>2801</v>
      </c>
      <c r="B21" s="30" t="s">
        <v>704</v>
      </c>
      <c r="C21" s="31">
        <v>263317.43</v>
      </c>
      <c r="D21" s="31">
        <v>0</v>
      </c>
      <c r="E21" s="31">
        <v>0</v>
      </c>
      <c r="F21" s="31">
        <f>E21/9*12</f>
        <v>0</v>
      </c>
      <c r="G21" s="31">
        <v>0</v>
      </c>
      <c r="H21" s="31">
        <v>0</v>
      </c>
      <c r="I21" s="29"/>
    </row>
    <row r="22" spans="1:9" x14ac:dyDescent="0.25">
      <c r="A22" s="30"/>
      <c r="B22" s="30"/>
      <c r="C22" s="31"/>
      <c r="D22" s="31"/>
      <c r="E22" s="31"/>
      <c r="F22" s="31"/>
      <c r="G22" s="31"/>
      <c r="H22" s="31"/>
      <c r="I22" s="29"/>
    </row>
    <row r="23" spans="1:9" x14ac:dyDescent="0.25">
      <c r="A23" s="23" t="s">
        <v>2553</v>
      </c>
      <c r="B23" s="23" t="s">
        <v>2</v>
      </c>
      <c r="C23" s="29"/>
      <c r="D23" s="29"/>
      <c r="E23" s="29"/>
      <c r="F23" s="29"/>
      <c r="G23" s="29"/>
      <c r="H23" s="29"/>
      <c r="I23" s="29"/>
    </row>
    <row r="24" spans="1:9" x14ac:dyDescent="0.25">
      <c r="A24" s="30" t="s">
        <v>2802</v>
      </c>
      <c r="B24" s="30" t="s">
        <v>2803</v>
      </c>
      <c r="C24" s="31">
        <v>0</v>
      </c>
      <c r="D24" s="31">
        <v>0</v>
      </c>
      <c r="E24" s="31">
        <v>0</v>
      </c>
      <c r="F24" s="31">
        <f t="shared" ref="F24:F25" si="0">E24/9*12</f>
        <v>0</v>
      </c>
      <c r="G24" s="31">
        <v>0</v>
      </c>
      <c r="H24" s="31">
        <v>0</v>
      </c>
      <c r="I24" s="29"/>
    </row>
    <row r="25" spans="1:9" x14ac:dyDescent="0.25">
      <c r="A25" s="30" t="s">
        <v>2804</v>
      </c>
      <c r="B25" s="30" t="s">
        <v>2805</v>
      </c>
      <c r="C25" s="31">
        <v>0</v>
      </c>
      <c r="D25" s="31">
        <v>0</v>
      </c>
      <c r="E25" s="31">
        <v>0</v>
      </c>
      <c r="F25" s="31">
        <f t="shared" si="0"/>
        <v>0</v>
      </c>
      <c r="G25" s="31">
        <v>0</v>
      </c>
      <c r="H25" s="31">
        <v>0</v>
      </c>
      <c r="I25" s="29"/>
    </row>
    <row r="26" spans="1:9" x14ac:dyDescent="0.25">
      <c r="A26" s="30"/>
      <c r="B26" s="30"/>
      <c r="C26" s="31"/>
      <c r="D26" s="31"/>
      <c r="E26" s="31"/>
      <c r="F26" s="31"/>
      <c r="G26" s="31"/>
      <c r="H26" s="31"/>
      <c r="I26" s="29"/>
    </row>
    <row r="27" spans="1:9" x14ac:dyDescent="0.25">
      <c r="A27" s="23" t="s">
        <v>2724</v>
      </c>
      <c r="B27" s="23" t="s">
        <v>2</v>
      </c>
      <c r="C27" s="29"/>
      <c r="D27" s="29"/>
      <c r="E27" s="29"/>
      <c r="F27" s="29"/>
      <c r="G27" s="29"/>
      <c r="H27" s="29"/>
      <c r="I27" s="29"/>
    </row>
    <row r="28" spans="1:9" x14ac:dyDescent="0.25">
      <c r="A28" s="109" t="s">
        <v>2806</v>
      </c>
      <c r="B28" s="109" t="s">
        <v>2807</v>
      </c>
      <c r="C28" s="110">
        <v>190492.79999999999</v>
      </c>
      <c r="D28" s="110">
        <v>0</v>
      </c>
      <c r="E28" s="110">
        <v>12545.66</v>
      </c>
      <c r="F28" s="110">
        <v>201732</v>
      </c>
      <c r="G28" s="110">
        <v>201732</v>
      </c>
      <c r="H28" s="110">
        <f>Transfers!$C$41</f>
        <v>200000</v>
      </c>
      <c r="I28" s="108"/>
    </row>
    <row r="29" spans="1:9" x14ac:dyDescent="0.25">
      <c r="A29" s="109" t="s">
        <v>2808</v>
      </c>
      <c r="B29" s="109" t="s">
        <v>2809</v>
      </c>
      <c r="C29" s="110">
        <v>59529</v>
      </c>
      <c r="D29" s="110">
        <v>0</v>
      </c>
      <c r="E29" s="110">
        <v>3920.52</v>
      </c>
      <c r="F29" s="110">
        <v>63041</v>
      </c>
      <c r="G29" s="110">
        <v>63041</v>
      </c>
      <c r="H29" s="110">
        <f>Transfers!$C$42</f>
        <v>65000</v>
      </c>
      <c r="I29" s="108"/>
    </row>
    <row r="30" spans="1:9" x14ac:dyDescent="0.25">
      <c r="A30" s="109" t="s">
        <v>2810</v>
      </c>
      <c r="B30" s="109" t="s">
        <v>2811</v>
      </c>
      <c r="C30" s="110">
        <v>23811.599999999999</v>
      </c>
      <c r="D30" s="110">
        <v>0</v>
      </c>
      <c r="E30" s="110">
        <v>1568.21</v>
      </c>
      <c r="F30" s="110">
        <v>25217</v>
      </c>
      <c r="G30" s="110">
        <v>25217</v>
      </c>
      <c r="H30" s="110">
        <f>Transfers!$C$43</f>
        <v>25000</v>
      </c>
      <c r="I30" s="108"/>
    </row>
    <row r="31" spans="1:9" x14ac:dyDescent="0.25">
      <c r="A31" s="109" t="s">
        <v>2812</v>
      </c>
      <c r="B31" s="109" t="s">
        <v>2813</v>
      </c>
      <c r="C31" s="110">
        <v>23811.599999999999</v>
      </c>
      <c r="D31" s="110">
        <v>0</v>
      </c>
      <c r="E31" s="110">
        <v>1568.21</v>
      </c>
      <c r="F31" s="110">
        <v>25217</v>
      </c>
      <c r="G31" s="110">
        <v>25217</v>
      </c>
      <c r="H31" s="110">
        <f>Transfers!$C$44</f>
        <v>25000</v>
      </c>
      <c r="I31" s="108"/>
    </row>
    <row r="32" spans="1:9" x14ac:dyDescent="0.25">
      <c r="A32" s="23" t="s">
        <v>2725</v>
      </c>
      <c r="B32" s="23" t="s">
        <v>2</v>
      </c>
      <c r="C32" s="32">
        <v>297645</v>
      </c>
      <c r="D32" s="32">
        <v>0</v>
      </c>
      <c r="E32" s="32">
        <f>SUM(E28:E31)</f>
        <v>19602.599999999999</v>
      </c>
      <c r="F32" s="32">
        <f>SUM(F28:F31)</f>
        <v>315207</v>
      </c>
      <c r="G32" s="32">
        <f>SUM(G28:G31)</f>
        <v>315207</v>
      </c>
      <c r="H32" s="32">
        <f>SUM(H28:H31)</f>
        <v>315000</v>
      </c>
      <c r="I32" s="29"/>
    </row>
    <row r="33" spans="1:9" x14ac:dyDescent="0.25">
      <c r="A33" s="23" t="s">
        <v>2</v>
      </c>
      <c r="B33" s="23" t="s">
        <v>2</v>
      </c>
      <c r="C33" s="23" t="s">
        <v>2</v>
      </c>
      <c r="D33" s="23" t="s">
        <v>2</v>
      </c>
      <c r="E33" s="23"/>
      <c r="F33" s="23"/>
      <c r="G33" s="23" t="s">
        <v>2</v>
      </c>
      <c r="H33" s="23" t="s">
        <v>2</v>
      </c>
      <c r="I33" s="29"/>
    </row>
    <row r="34" spans="1:9" x14ac:dyDescent="0.25">
      <c r="A34" s="23" t="s">
        <v>2047</v>
      </c>
      <c r="B34" s="23" t="s">
        <v>2</v>
      </c>
      <c r="C34" s="32">
        <v>565008.56999999995</v>
      </c>
      <c r="D34" s="32">
        <v>0.6</v>
      </c>
      <c r="E34" s="32">
        <f>E14+E19+E32</f>
        <v>19604.37</v>
      </c>
      <c r="F34" s="32">
        <f>F14+F19+F32</f>
        <v>315209.36</v>
      </c>
      <c r="G34" s="32">
        <f>G32+SUM(G24:G25)+G21+G19+G14</f>
        <v>315207</v>
      </c>
      <c r="H34" s="32">
        <f>H32+SUM(H24:H25)+H21+H19+H14</f>
        <v>315000</v>
      </c>
      <c r="I34" s="29"/>
    </row>
    <row r="35" spans="1:9" ht="15" customHeight="1" x14ac:dyDescent="0.25">
      <c r="A35" s="1" t="s">
        <v>740</v>
      </c>
      <c r="B35" s="1" t="s">
        <v>2</v>
      </c>
    </row>
    <row r="36" spans="1:9" ht="15" customHeight="1" x14ac:dyDescent="0.25">
      <c r="A36" s="1" t="s">
        <v>556</v>
      </c>
      <c r="B36" s="1" t="s">
        <v>2</v>
      </c>
    </row>
    <row r="37" spans="1:9" ht="26.25" customHeight="1" x14ac:dyDescent="0.25">
      <c r="A37" s="1" t="s">
        <v>1161</v>
      </c>
      <c r="B37" s="1" t="s">
        <v>2</v>
      </c>
    </row>
    <row r="38" spans="1:9" ht="15" customHeight="1" x14ac:dyDescent="0.25">
      <c r="A38" s="2" t="s">
        <v>1178</v>
      </c>
      <c r="B38" s="2" t="s">
        <v>1163</v>
      </c>
      <c r="C38" s="3">
        <v>276000</v>
      </c>
      <c r="D38" s="3">
        <v>0</v>
      </c>
      <c r="E38" s="3">
        <v>0</v>
      </c>
      <c r="F38" s="3">
        <f>G38</f>
        <v>276000</v>
      </c>
      <c r="G38" s="3">
        <v>276000</v>
      </c>
      <c r="H38" s="5">
        <v>281000</v>
      </c>
    </row>
    <row r="39" spans="1:9" ht="26.25" customHeight="1" x14ac:dyDescent="0.25">
      <c r="A39" s="1" t="s">
        <v>1164</v>
      </c>
      <c r="B39" s="1" t="s">
        <v>2</v>
      </c>
      <c r="C39" s="4">
        <v>276000</v>
      </c>
      <c r="D39" s="4">
        <v>0</v>
      </c>
      <c r="E39" s="4">
        <f>E38</f>
        <v>0</v>
      </c>
      <c r="F39" s="4">
        <f>F38</f>
        <v>276000</v>
      </c>
      <c r="G39" s="6">
        <f>SUM(G38)</f>
        <v>276000</v>
      </c>
      <c r="H39" s="6">
        <f>SUM(H38)</f>
        <v>281000</v>
      </c>
    </row>
    <row r="40" spans="1:9" x14ac:dyDescent="0.25">
      <c r="A40" s="1" t="s">
        <v>2</v>
      </c>
      <c r="B40" s="1" t="s">
        <v>2</v>
      </c>
      <c r="C40" s="1" t="s">
        <v>2</v>
      </c>
      <c r="D40" s="1" t="s">
        <v>2</v>
      </c>
      <c r="E40" s="1"/>
      <c r="F40" s="1"/>
      <c r="G40" s="1" t="s">
        <v>2</v>
      </c>
      <c r="H40" s="1" t="s">
        <v>2</v>
      </c>
    </row>
    <row r="41" spans="1:9" ht="15" customHeight="1" x14ac:dyDescent="0.25">
      <c r="A41" s="1" t="s">
        <v>1153</v>
      </c>
      <c r="B41" s="1" t="s">
        <v>2</v>
      </c>
    </row>
    <row r="42" spans="1:9" ht="15" customHeight="1" x14ac:dyDescent="0.25">
      <c r="A42" s="2" t="s">
        <v>1179</v>
      </c>
      <c r="B42" s="2" t="s">
        <v>1166</v>
      </c>
      <c r="C42" s="3">
        <v>43290</v>
      </c>
      <c r="D42" s="3">
        <v>0</v>
      </c>
      <c r="E42" s="3">
        <v>19602.599999999999</v>
      </c>
      <c r="F42" s="3">
        <f>G42</f>
        <v>39206</v>
      </c>
      <c r="G42" s="3">
        <v>39206</v>
      </c>
      <c r="H42" s="5">
        <v>35120.400000000001</v>
      </c>
    </row>
    <row r="43" spans="1:9" ht="15" customHeight="1" x14ac:dyDescent="0.25">
      <c r="A43" s="2" t="s">
        <v>1180</v>
      </c>
      <c r="B43" s="2" t="s">
        <v>1181</v>
      </c>
      <c r="C43" s="3">
        <v>470</v>
      </c>
      <c r="D43" s="3">
        <v>0</v>
      </c>
      <c r="E43" s="3">
        <v>0</v>
      </c>
      <c r="F43" s="3">
        <f>G43</f>
        <v>700</v>
      </c>
      <c r="G43" s="3">
        <v>700</v>
      </c>
      <c r="H43" s="5">
        <v>700</v>
      </c>
    </row>
    <row r="44" spans="1:9" ht="15" customHeight="1" x14ac:dyDescent="0.25">
      <c r="A44" s="1" t="s">
        <v>1158</v>
      </c>
      <c r="B44" s="1" t="s">
        <v>2</v>
      </c>
      <c r="C44" s="4">
        <v>43760</v>
      </c>
      <c r="D44" s="4">
        <v>0</v>
      </c>
      <c r="E44" s="4">
        <f>SUM(E42:E43)</f>
        <v>19602.599999999999</v>
      </c>
      <c r="F44" s="4">
        <f>SUM(F42:F43)</f>
        <v>39906</v>
      </c>
      <c r="G44" s="6">
        <f>SUM(G42:G43)</f>
        <v>39906</v>
      </c>
      <c r="H44" s="6">
        <f>SUM(H42:H43)</f>
        <v>35820.400000000001</v>
      </c>
    </row>
    <row r="45" spans="1:9" x14ac:dyDescent="0.25">
      <c r="A45" s="1" t="s">
        <v>2</v>
      </c>
      <c r="B45" s="1" t="s">
        <v>2</v>
      </c>
      <c r="C45" s="1" t="s">
        <v>2</v>
      </c>
      <c r="D45" s="1" t="s">
        <v>2</v>
      </c>
      <c r="E45" s="1"/>
      <c r="F45" s="1"/>
      <c r="G45" s="1" t="s">
        <v>2</v>
      </c>
      <c r="H45" s="1" t="s">
        <v>2</v>
      </c>
    </row>
    <row r="46" spans="1:9" ht="15" customHeight="1" x14ac:dyDescent="0.25">
      <c r="A46" s="2" t="s">
        <v>1182</v>
      </c>
      <c r="B46" s="2" t="s">
        <v>1183</v>
      </c>
      <c r="C46" s="3">
        <v>0</v>
      </c>
      <c r="D46" s="3">
        <v>0</v>
      </c>
      <c r="E46" s="3">
        <v>0</v>
      </c>
      <c r="F46" s="3">
        <f t="shared" ref="F46:F47" si="1">E46/9/12</f>
        <v>0</v>
      </c>
      <c r="G46" s="3">
        <v>0</v>
      </c>
      <c r="H46" s="5">
        <v>0</v>
      </c>
    </row>
    <row r="47" spans="1:9" x14ac:dyDescent="0.25">
      <c r="A47" s="2" t="s">
        <v>1184</v>
      </c>
      <c r="B47" s="2" t="s">
        <v>1185</v>
      </c>
      <c r="C47" s="3">
        <v>0</v>
      </c>
      <c r="D47" s="3">
        <v>0</v>
      </c>
      <c r="E47" s="3">
        <v>0</v>
      </c>
      <c r="F47" s="3">
        <f t="shared" si="1"/>
        <v>0</v>
      </c>
      <c r="G47" s="3">
        <v>0</v>
      </c>
      <c r="H47" s="5">
        <v>0</v>
      </c>
    </row>
    <row r="48" spans="1:9" x14ac:dyDescent="0.25">
      <c r="A48" s="2"/>
      <c r="B48" s="2"/>
      <c r="C48" s="3"/>
      <c r="D48" s="3"/>
      <c r="E48" s="3"/>
      <c r="F48" s="3"/>
      <c r="G48" s="3"/>
      <c r="H48" s="5"/>
    </row>
    <row r="49" spans="1:9" ht="29.25" customHeight="1" x14ac:dyDescent="0.25">
      <c r="A49" s="1" t="s">
        <v>2814</v>
      </c>
      <c r="B49" s="1" t="s">
        <v>2</v>
      </c>
      <c r="C49" s="4">
        <v>319760</v>
      </c>
      <c r="D49" s="4">
        <v>0</v>
      </c>
      <c r="E49" s="4">
        <v>0</v>
      </c>
      <c r="F49" s="6">
        <f>SUM(F46:F47)+F44+F39</f>
        <v>315906</v>
      </c>
      <c r="G49" s="6">
        <f>SUM(G46:G47)+G44+G39</f>
        <v>315906</v>
      </c>
      <c r="H49" s="6">
        <f>SUM(H46:H47)+H44+H39</f>
        <v>316820.40000000002</v>
      </c>
    </row>
    <row r="50" spans="1:9" ht="15" customHeight="1" x14ac:dyDescent="0.25">
      <c r="A50" s="291" t="s">
        <v>2816</v>
      </c>
      <c r="B50" s="291" t="s">
        <v>2</v>
      </c>
      <c r="C50" s="294">
        <f>C7+C34-C49</f>
        <v>14573.029999999912</v>
      </c>
      <c r="D50" s="294">
        <f t="shared" ref="D50:H50" si="2">D7+D34-D49</f>
        <v>14573.630000000001</v>
      </c>
      <c r="E50" s="294">
        <f t="shared" si="2"/>
        <v>34177.4</v>
      </c>
      <c r="F50" s="294">
        <f>F7+F34-F49</f>
        <v>13876.390000000014</v>
      </c>
      <c r="G50" s="294">
        <f t="shared" si="2"/>
        <v>13874.030000000028</v>
      </c>
      <c r="H50" s="294">
        <f t="shared" si="2"/>
        <v>12055.989999999991</v>
      </c>
      <c r="I50" s="291"/>
    </row>
    <row r="51" spans="1:9" x14ac:dyDescent="0.25">
      <c r="A51" s="1" t="s">
        <v>2</v>
      </c>
      <c r="B51" s="1" t="s">
        <v>2</v>
      </c>
      <c r="C51" s="1" t="s">
        <v>2</v>
      </c>
      <c r="D51" s="1" t="s">
        <v>2</v>
      </c>
      <c r="E51" s="1"/>
      <c r="F51" s="1"/>
      <c r="G51" s="1" t="s">
        <v>2</v>
      </c>
      <c r="H51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92CFC-B112-425C-9A4D-C5AF9CDEEA58}">
  <sheetPr>
    <tabColor rgb="FF92D050"/>
    <pageSetUpPr fitToPage="1"/>
  </sheetPr>
  <dimension ref="A1:M34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4007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H7-F33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2817</v>
      </c>
      <c r="B7" s="291" t="s">
        <v>2</v>
      </c>
      <c r="C7" s="294">
        <v>1996.44</v>
      </c>
      <c r="D7" s="294">
        <v>1998.54</v>
      </c>
      <c r="E7" s="294">
        <v>1998.54</v>
      </c>
      <c r="F7" s="294">
        <v>1998.54</v>
      </c>
      <c r="G7" s="294">
        <v>1998.54</v>
      </c>
      <c r="H7" s="294">
        <f>F33</f>
        <v>1654.3133333333535</v>
      </c>
      <c r="I7" s="291"/>
    </row>
    <row r="8" spans="1:13" ht="24" x14ac:dyDescent="0.25">
      <c r="A8" s="23" t="s">
        <v>1186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2818</v>
      </c>
      <c r="B12" s="30" t="s">
        <v>2409</v>
      </c>
      <c r="C12" s="31">
        <v>2.1</v>
      </c>
      <c r="D12" s="31">
        <v>1.47</v>
      </c>
      <c r="E12" s="31">
        <v>4.33</v>
      </c>
      <c r="F12" s="31">
        <f>E12/9*12</f>
        <v>5.7733333333333334</v>
      </c>
      <c r="G12" s="31">
        <v>0</v>
      </c>
      <c r="H12" s="31">
        <v>0</v>
      </c>
      <c r="I12" s="29"/>
    </row>
    <row r="13" spans="1:13" ht="24" x14ac:dyDescent="0.25">
      <c r="A13" s="23" t="s">
        <v>2179</v>
      </c>
      <c r="B13" s="23" t="s">
        <v>2</v>
      </c>
      <c r="C13" s="32">
        <v>2.1</v>
      </c>
      <c r="D13" s="32">
        <v>1.47</v>
      </c>
      <c r="E13" s="32">
        <f>E12</f>
        <v>4.33</v>
      </c>
      <c r="F13" s="32">
        <f>F12</f>
        <v>5.7733333333333334</v>
      </c>
      <c r="G13" s="32">
        <f>SUM(G12)</f>
        <v>0</v>
      </c>
      <c r="H13" s="32">
        <f>SUM(H12)</f>
        <v>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x14ac:dyDescent="0.25">
      <c r="A15" s="23" t="s">
        <v>2724</v>
      </c>
      <c r="B15" s="23" t="s">
        <v>2</v>
      </c>
      <c r="C15" s="29"/>
      <c r="D15" s="29"/>
      <c r="E15" s="29"/>
      <c r="F15" s="29"/>
      <c r="G15" s="29"/>
      <c r="H15" s="29"/>
      <c r="I15" s="29"/>
    </row>
    <row r="16" spans="1:13" x14ac:dyDescent="0.25">
      <c r="A16" s="109" t="s">
        <v>2819</v>
      </c>
      <c r="B16" s="109" t="s">
        <v>2820</v>
      </c>
      <c r="C16" s="110">
        <v>79400</v>
      </c>
      <c r="D16" s="110">
        <v>0</v>
      </c>
      <c r="E16" s="110">
        <v>5900</v>
      </c>
      <c r="F16" s="110">
        <v>81800</v>
      </c>
      <c r="G16" s="110">
        <v>81800</v>
      </c>
      <c r="H16" s="110">
        <f>Transfers!$C$45</f>
        <v>85000</v>
      </c>
      <c r="I16" s="108"/>
    </row>
    <row r="17" spans="1:9" x14ac:dyDescent="0.25">
      <c r="A17" s="109" t="s">
        <v>2821</v>
      </c>
      <c r="B17" s="109" t="s">
        <v>2822</v>
      </c>
      <c r="C17" s="110">
        <v>79400</v>
      </c>
      <c r="D17" s="110">
        <v>0</v>
      </c>
      <c r="E17" s="110">
        <v>5900</v>
      </c>
      <c r="F17" s="110">
        <v>81800</v>
      </c>
      <c r="G17" s="110">
        <v>81800</v>
      </c>
      <c r="H17" s="110">
        <f>Transfers!$C$46</f>
        <v>85000</v>
      </c>
      <c r="I17" s="108"/>
    </row>
    <row r="18" spans="1:9" x14ac:dyDescent="0.25">
      <c r="A18" s="23" t="s">
        <v>2725</v>
      </c>
      <c r="B18" s="23" t="s">
        <v>2</v>
      </c>
      <c r="C18" s="32">
        <v>158800</v>
      </c>
      <c r="D18" s="32">
        <v>0</v>
      </c>
      <c r="E18" s="32">
        <f>E16+E17</f>
        <v>11800</v>
      </c>
      <c r="F18" s="32">
        <f>F16+F17</f>
        <v>163600</v>
      </c>
      <c r="G18" s="32">
        <f>SUM(G16:G17)</f>
        <v>163600</v>
      </c>
      <c r="H18" s="32">
        <f>SUM(H16:H17)</f>
        <v>170000</v>
      </c>
      <c r="I18" s="29"/>
    </row>
    <row r="19" spans="1:9" x14ac:dyDescent="0.25">
      <c r="A19" s="23" t="s">
        <v>2</v>
      </c>
      <c r="B19" s="23" t="s">
        <v>2</v>
      </c>
      <c r="C19" s="23" t="s">
        <v>2</v>
      </c>
      <c r="D19" s="23" t="s">
        <v>2</v>
      </c>
      <c r="E19" s="23"/>
      <c r="F19" s="23"/>
      <c r="G19" s="23" t="s">
        <v>2</v>
      </c>
      <c r="H19" s="23" t="s">
        <v>2</v>
      </c>
      <c r="I19" s="29"/>
    </row>
    <row r="20" spans="1:9" x14ac:dyDescent="0.25">
      <c r="A20" s="23" t="s">
        <v>2047</v>
      </c>
      <c r="B20" s="23" t="s">
        <v>2</v>
      </c>
      <c r="C20" s="32">
        <v>158802.1</v>
      </c>
      <c r="D20" s="32">
        <v>1.47</v>
      </c>
      <c r="E20" s="32">
        <f>E13+E18</f>
        <v>11804.33</v>
      </c>
      <c r="F20" s="32">
        <f>F13+F18</f>
        <v>163605.77333333335</v>
      </c>
      <c r="G20" s="32">
        <f>G13+G18</f>
        <v>163600</v>
      </c>
      <c r="H20" s="32">
        <f>H13+H18</f>
        <v>170000</v>
      </c>
      <c r="I20" s="29"/>
    </row>
    <row r="21" spans="1:9" ht="15" customHeight="1" x14ac:dyDescent="0.25">
      <c r="A21" s="1" t="s">
        <v>740</v>
      </c>
      <c r="B21" s="1" t="s">
        <v>2</v>
      </c>
      <c r="C21" s="40"/>
      <c r="G21" s="40"/>
    </row>
    <row r="22" spans="1:9" ht="15" customHeight="1" x14ac:dyDescent="0.25">
      <c r="A22" s="1" t="s">
        <v>556</v>
      </c>
      <c r="B22" s="1" t="s">
        <v>2</v>
      </c>
    </row>
    <row r="23" spans="1:9" ht="27.75" customHeight="1" x14ac:dyDescent="0.25">
      <c r="A23" s="1" t="s">
        <v>1161</v>
      </c>
      <c r="B23" s="1" t="s">
        <v>2</v>
      </c>
    </row>
    <row r="24" spans="1:9" ht="15" customHeight="1" x14ac:dyDescent="0.25">
      <c r="A24" s="2" t="s">
        <v>1187</v>
      </c>
      <c r="B24" s="2" t="s">
        <v>1163</v>
      </c>
      <c r="C24" s="3">
        <v>130000</v>
      </c>
      <c r="D24" s="3">
        <v>0</v>
      </c>
      <c r="E24" s="3">
        <v>0</v>
      </c>
      <c r="F24" s="3">
        <f>G24</f>
        <v>140000</v>
      </c>
      <c r="G24" s="3">
        <v>140000</v>
      </c>
      <c r="H24" s="5">
        <v>145000</v>
      </c>
    </row>
    <row r="25" spans="1:9" ht="28.5" customHeight="1" x14ac:dyDescent="0.25">
      <c r="A25" s="1" t="s">
        <v>1164</v>
      </c>
      <c r="B25" s="1" t="s">
        <v>2</v>
      </c>
      <c r="C25" s="4">
        <v>130000</v>
      </c>
      <c r="D25" s="4">
        <v>0</v>
      </c>
      <c r="E25" s="4">
        <f>E24</f>
        <v>0</v>
      </c>
      <c r="F25" s="4">
        <f>F24</f>
        <v>140000</v>
      </c>
      <c r="G25" s="6">
        <f>SUM(G24)</f>
        <v>140000</v>
      </c>
      <c r="H25" s="6">
        <f>SUM(H24)</f>
        <v>145000</v>
      </c>
    </row>
    <row r="26" spans="1:9" x14ac:dyDescent="0.25">
      <c r="A26" s="1" t="s">
        <v>2</v>
      </c>
      <c r="B26" s="1" t="s">
        <v>2</v>
      </c>
      <c r="C26" s="1" t="s">
        <v>2</v>
      </c>
      <c r="D26" s="1" t="s">
        <v>2</v>
      </c>
      <c r="E26" s="1"/>
      <c r="F26" s="1"/>
      <c r="G26" s="1" t="s">
        <v>2</v>
      </c>
      <c r="H26" s="1" t="s">
        <v>2</v>
      </c>
    </row>
    <row r="27" spans="1:9" ht="15" customHeight="1" x14ac:dyDescent="0.25">
      <c r="A27" s="1" t="s">
        <v>1153</v>
      </c>
      <c r="B27" s="1" t="s">
        <v>2</v>
      </c>
      <c r="E27" s="3"/>
      <c r="F27" s="3"/>
    </row>
    <row r="28" spans="1:9" ht="15" customHeight="1" x14ac:dyDescent="0.25">
      <c r="A28" s="2" t="s">
        <v>1188</v>
      </c>
      <c r="B28" s="2" t="s">
        <v>1166</v>
      </c>
      <c r="C28" s="3">
        <v>28800</v>
      </c>
      <c r="D28" s="3">
        <v>0</v>
      </c>
      <c r="E28" s="3">
        <v>11800</v>
      </c>
      <c r="F28" s="3">
        <f>G28</f>
        <v>23600</v>
      </c>
      <c r="G28" s="3">
        <v>23600</v>
      </c>
      <c r="H28" s="5">
        <v>18000</v>
      </c>
    </row>
    <row r="29" spans="1:9" ht="15" customHeight="1" x14ac:dyDescent="0.25">
      <c r="A29" s="2" t="s">
        <v>1189</v>
      </c>
      <c r="B29" s="2" t="s">
        <v>1181</v>
      </c>
      <c r="C29" s="3">
        <v>0</v>
      </c>
      <c r="D29" s="3">
        <v>0</v>
      </c>
      <c r="E29" s="3">
        <v>0</v>
      </c>
      <c r="F29" s="3">
        <f>G29</f>
        <v>350</v>
      </c>
      <c r="G29" s="3">
        <v>350</v>
      </c>
      <c r="H29" s="5">
        <v>0</v>
      </c>
    </row>
    <row r="30" spans="1:9" ht="15" customHeight="1" x14ac:dyDescent="0.25">
      <c r="A30" s="1" t="s">
        <v>1158</v>
      </c>
      <c r="B30" s="1" t="s">
        <v>2</v>
      </c>
      <c r="C30" s="4">
        <v>28800</v>
      </c>
      <c r="D30" s="4">
        <v>0</v>
      </c>
      <c r="E30" s="4">
        <f>E28+E29</f>
        <v>11800</v>
      </c>
      <c r="F30" s="4">
        <f>F28+F29</f>
        <v>23950</v>
      </c>
      <c r="G30" s="6">
        <f>SUM(G28:G29)</f>
        <v>23950</v>
      </c>
      <c r="H30" s="6">
        <f>SUM(H28:H29)</f>
        <v>18000</v>
      </c>
    </row>
    <row r="31" spans="1:9" x14ac:dyDescent="0.25">
      <c r="A31" s="1" t="s">
        <v>2</v>
      </c>
      <c r="B31" s="1" t="s">
        <v>2</v>
      </c>
      <c r="C31" s="1" t="s">
        <v>2</v>
      </c>
      <c r="D31" s="1" t="s">
        <v>2</v>
      </c>
      <c r="E31" s="1"/>
      <c r="F31" s="1"/>
      <c r="G31" s="1" t="s">
        <v>2</v>
      </c>
      <c r="H31" s="1" t="s">
        <v>2</v>
      </c>
    </row>
    <row r="32" spans="1:9" ht="15" customHeight="1" x14ac:dyDescent="0.25">
      <c r="A32" s="1" t="s">
        <v>1190</v>
      </c>
      <c r="B32" s="1" t="s">
        <v>2</v>
      </c>
      <c r="C32" s="4">
        <v>158800</v>
      </c>
      <c r="D32" s="4">
        <v>0</v>
      </c>
      <c r="E32" s="4">
        <f>E25+E30</f>
        <v>11800</v>
      </c>
      <c r="F32" s="4">
        <f>F25+F30</f>
        <v>163950</v>
      </c>
      <c r="G32" s="6">
        <f>G30+G25</f>
        <v>163950</v>
      </c>
      <c r="H32" s="6">
        <f>H30+H25</f>
        <v>163000</v>
      </c>
    </row>
    <row r="33" spans="1:9" ht="15" customHeight="1" x14ac:dyDescent="0.25">
      <c r="A33" s="291" t="s">
        <v>2823</v>
      </c>
      <c r="B33" s="291"/>
      <c r="C33" s="294">
        <f>C7+C20-C32</f>
        <v>1998.5400000000081</v>
      </c>
      <c r="D33" s="294">
        <f t="shared" ref="D33:H33" si="0">D7+D20-D32</f>
        <v>2000.01</v>
      </c>
      <c r="E33" s="294">
        <f t="shared" si="0"/>
        <v>2002.869999999999</v>
      </c>
      <c r="F33" s="294">
        <f t="shared" si="0"/>
        <v>1654.3133333333535</v>
      </c>
      <c r="G33" s="294">
        <f t="shared" si="0"/>
        <v>1648.5400000000081</v>
      </c>
      <c r="H33" s="294">
        <f t="shared" si="0"/>
        <v>8654.3133333333535</v>
      </c>
      <c r="I33" s="291"/>
    </row>
    <row r="34" spans="1:9" x14ac:dyDescent="0.25">
      <c r="A34" s="1" t="s">
        <v>2</v>
      </c>
      <c r="B34" s="1" t="s">
        <v>2</v>
      </c>
      <c r="C34" s="1" t="s">
        <v>2</v>
      </c>
      <c r="D34" s="1" t="s">
        <v>2</v>
      </c>
      <c r="E34" s="1"/>
      <c r="F34" s="1"/>
      <c r="G34" s="1" t="s">
        <v>2</v>
      </c>
      <c r="H34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13FE6-0361-4661-8A1F-6B4B4F292BCA}">
  <sheetPr>
    <tabColor rgb="FF92D050"/>
    <pageSetUpPr fitToPage="1"/>
  </sheetPr>
  <dimension ref="A1:M20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4006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H7-F19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2824</v>
      </c>
      <c r="B7" s="291" t="s">
        <v>2</v>
      </c>
      <c r="C7" s="294">
        <v>296.12</v>
      </c>
      <c r="D7" s="294">
        <v>709.14</v>
      </c>
      <c r="E7" s="294">
        <v>709.14</v>
      </c>
      <c r="F7" s="294">
        <v>709.14</v>
      </c>
      <c r="G7" s="294">
        <v>709.14</v>
      </c>
      <c r="H7" s="294">
        <f>F19</f>
        <v>46511.353333333333</v>
      </c>
      <c r="I7" s="291"/>
    </row>
    <row r="8" spans="1:13" ht="24" x14ac:dyDescent="0.25">
      <c r="A8" s="23" t="s">
        <v>1191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39" t="s">
        <v>2026</v>
      </c>
      <c r="B9" s="23"/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2825</v>
      </c>
      <c r="B10" s="30" t="s">
        <v>2826</v>
      </c>
      <c r="C10" s="31">
        <v>64321.89</v>
      </c>
      <c r="D10" s="31">
        <v>34376.629999999997</v>
      </c>
      <c r="E10" s="31">
        <v>35765.15</v>
      </c>
      <c r="F10" s="31">
        <f>E10/9*12</f>
        <v>47686.866666666669</v>
      </c>
      <c r="G10" s="31">
        <v>63910</v>
      </c>
      <c r="H10" s="31">
        <v>64000</v>
      </c>
      <c r="I10" s="29"/>
    </row>
    <row r="11" spans="1:13" x14ac:dyDescent="0.25">
      <c r="A11" s="30" t="s">
        <v>2827</v>
      </c>
      <c r="B11" s="30" t="s">
        <v>2409</v>
      </c>
      <c r="C11" s="31">
        <v>0.13</v>
      </c>
      <c r="D11" s="31">
        <v>0.09</v>
      </c>
      <c r="E11" s="31">
        <v>0.26</v>
      </c>
      <c r="F11" s="31">
        <f>E11/9*12</f>
        <v>0.34666666666666668</v>
      </c>
      <c r="G11" s="31">
        <v>0</v>
      </c>
      <c r="H11" s="31">
        <v>0</v>
      </c>
      <c r="I11" s="29"/>
    </row>
    <row r="12" spans="1:13" x14ac:dyDescent="0.25">
      <c r="A12" s="109" t="s">
        <v>2828</v>
      </c>
      <c r="B12" s="109" t="s">
        <v>2829</v>
      </c>
      <c r="C12" s="110">
        <v>57369</v>
      </c>
      <c r="D12" s="110">
        <v>0</v>
      </c>
      <c r="E12" s="110">
        <v>28097.26</v>
      </c>
      <c r="F12" s="110">
        <v>56195</v>
      </c>
      <c r="G12" s="110">
        <v>56195</v>
      </c>
      <c r="H12" s="110">
        <f>Transfers!$C$47</f>
        <v>50000</v>
      </c>
      <c r="I12" s="108"/>
    </row>
    <row r="13" spans="1:13" x14ac:dyDescent="0.25">
      <c r="A13" s="109" t="s">
        <v>2830</v>
      </c>
      <c r="B13" s="109" t="s">
        <v>2809</v>
      </c>
      <c r="C13" s="110">
        <v>64794</v>
      </c>
      <c r="D13" s="110">
        <v>0</v>
      </c>
      <c r="E13" s="110">
        <v>32983.74</v>
      </c>
      <c r="F13" s="110">
        <v>65968</v>
      </c>
      <c r="G13" s="110">
        <v>65968</v>
      </c>
      <c r="H13" s="110">
        <f>Transfers!$C$48</f>
        <v>60000</v>
      </c>
      <c r="I13" s="108"/>
    </row>
    <row r="14" spans="1:13" ht="24" x14ac:dyDescent="0.25">
      <c r="A14" s="23" t="s">
        <v>1194</v>
      </c>
      <c r="B14" s="23" t="s">
        <v>2</v>
      </c>
      <c r="C14" s="32">
        <v>186485.02</v>
      </c>
      <c r="D14" s="32">
        <v>34376.720000000001</v>
      </c>
      <c r="E14" s="32">
        <f>SUM(E10:E13)</f>
        <v>96846.41</v>
      </c>
      <c r="F14" s="32">
        <f>SUM(F10:F13)</f>
        <v>169850.21333333332</v>
      </c>
      <c r="G14" s="32">
        <f>SUM(G10:G13)</f>
        <v>186073</v>
      </c>
      <c r="H14" s="32">
        <f>SUM(H10:H13)</f>
        <v>174000</v>
      </c>
      <c r="I14" s="29"/>
    </row>
    <row r="15" spans="1:13" ht="15" customHeight="1" x14ac:dyDescent="0.25">
      <c r="A15" s="1" t="s">
        <v>740</v>
      </c>
      <c r="B15" s="1" t="s">
        <v>2</v>
      </c>
      <c r="C15" s="40"/>
      <c r="D15" s="40"/>
      <c r="E15" s="40"/>
      <c r="F15" s="40"/>
    </row>
    <row r="16" spans="1:13" ht="15" customHeight="1" x14ac:dyDescent="0.25">
      <c r="A16" s="2" t="s">
        <v>1192</v>
      </c>
      <c r="B16" s="2" t="s">
        <v>1163</v>
      </c>
      <c r="C16" s="3">
        <v>160113.87</v>
      </c>
      <c r="D16" s="3">
        <v>83404.5</v>
      </c>
      <c r="E16" s="3">
        <v>83404.5</v>
      </c>
      <c r="F16" s="3">
        <f>E16/9*12</f>
        <v>111206</v>
      </c>
      <c r="G16" s="3">
        <v>169124</v>
      </c>
      <c r="H16" s="5">
        <f>61743.11+116214.26</f>
        <v>177957.37</v>
      </c>
    </row>
    <row r="17" spans="1:9" ht="15" customHeight="1" x14ac:dyDescent="0.25">
      <c r="A17" s="2" t="s">
        <v>1193</v>
      </c>
      <c r="B17" s="2" t="s">
        <v>1166</v>
      </c>
      <c r="C17" s="3">
        <v>25958.13</v>
      </c>
      <c r="D17" s="3">
        <v>9631.5</v>
      </c>
      <c r="E17" s="3">
        <v>9631.5</v>
      </c>
      <c r="F17" s="3">
        <f>E17/9*12</f>
        <v>12842</v>
      </c>
      <c r="G17" s="3">
        <v>16949</v>
      </c>
      <c r="H17" s="5">
        <f>3183.44+5960.15</f>
        <v>9143.59</v>
      </c>
    </row>
    <row r="18" spans="1:9" ht="15" customHeight="1" x14ac:dyDescent="0.25">
      <c r="A18" s="1" t="s">
        <v>1194</v>
      </c>
      <c r="B18" s="1" t="s">
        <v>2</v>
      </c>
      <c r="C18" s="4">
        <v>186072</v>
      </c>
      <c r="D18" s="4">
        <v>93036</v>
      </c>
      <c r="E18" s="4">
        <f>E16+E17</f>
        <v>93036</v>
      </c>
      <c r="F18" s="4">
        <f>F16+F17</f>
        <v>124048</v>
      </c>
      <c r="G18" s="6">
        <f>SUM(G16:G17)</f>
        <v>186073</v>
      </c>
      <c r="H18" s="6">
        <f>SUM(H16:H17)</f>
        <v>187100.96</v>
      </c>
    </row>
    <row r="19" spans="1:9" ht="15" customHeight="1" x14ac:dyDescent="0.25">
      <c r="A19" s="291" t="s">
        <v>2831</v>
      </c>
      <c r="B19" s="291"/>
      <c r="C19" s="294">
        <f>C7+C14-C18</f>
        <v>709.13999999998487</v>
      </c>
      <c r="D19" s="294">
        <f t="shared" ref="D19:H19" si="0">D7+D14-D18</f>
        <v>-57950.14</v>
      </c>
      <c r="E19" s="294">
        <f t="shared" si="0"/>
        <v>4519.5500000000029</v>
      </c>
      <c r="F19" s="294">
        <f t="shared" ref="F19" si="1">F7+F14-F18</f>
        <v>46511.353333333333</v>
      </c>
      <c r="G19" s="294">
        <f t="shared" si="0"/>
        <v>709.14000000001397</v>
      </c>
      <c r="H19" s="294">
        <f t="shared" si="0"/>
        <v>33410.393333333341</v>
      </c>
      <c r="I19" s="291"/>
    </row>
    <row r="20" spans="1:9" x14ac:dyDescent="0.25">
      <c r="A20" s="1" t="s">
        <v>2</v>
      </c>
      <c r="B20" s="1" t="s">
        <v>2</v>
      </c>
      <c r="C20" s="1" t="s">
        <v>2</v>
      </c>
      <c r="D20" s="1" t="s">
        <v>2</v>
      </c>
      <c r="E20" s="1"/>
      <c r="F20" s="1"/>
      <c r="G20" s="1" t="s">
        <v>2</v>
      </c>
      <c r="H20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569B-CB79-489B-802C-A836CD386B75}">
  <sheetPr>
    <tabColor rgb="FF92D050"/>
    <pageSetUpPr fitToPage="1"/>
  </sheetPr>
  <dimension ref="A1:M24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4005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H7-F23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2832</v>
      </c>
      <c r="B7" s="291"/>
      <c r="C7" s="294">
        <v>897191.34</v>
      </c>
      <c r="D7" s="294">
        <v>863745.1</v>
      </c>
      <c r="E7" s="294">
        <v>863745.1</v>
      </c>
      <c r="F7" s="294">
        <v>863745.1</v>
      </c>
      <c r="G7" s="294">
        <v>863745.1</v>
      </c>
      <c r="H7" s="294">
        <f>F23</f>
        <v>1148531.58</v>
      </c>
      <c r="I7" s="291"/>
    </row>
    <row r="8" spans="1:13" ht="24" x14ac:dyDescent="0.25">
      <c r="A8" s="23" t="s">
        <v>1195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39" t="s">
        <v>2026</v>
      </c>
      <c r="B9" s="23"/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2833</v>
      </c>
      <c r="B10" s="30" t="s">
        <v>2834</v>
      </c>
      <c r="C10" s="31">
        <v>842615.03</v>
      </c>
      <c r="D10" s="31">
        <v>260308.63</v>
      </c>
      <c r="E10" s="31">
        <v>527985.68000000005</v>
      </c>
      <c r="F10" s="31">
        <f>E10/9*12</f>
        <v>703980.90666666673</v>
      </c>
      <c r="G10" s="31">
        <v>300000</v>
      </c>
      <c r="H10" s="31">
        <v>300000</v>
      </c>
      <c r="I10" s="29"/>
    </row>
    <row r="11" spans="1:13" x14ac:dyDescent="0.25">
      <c r="A11" s="30" t="s">
        <v>2835</v>
      </c>
      <c r="B11" s="30" t="s">
        <v>2409</v>
      </c>
      <c r="C11" s="31">
        <v>492.85</v>
      </c>
      <c r="D11" s="31">
        <v>375.29</v>
      </c>
      <c r="E11" s="31">
        <v>1210.93</v>
      </c>
      <c r="F11" s="31">
        <f>E11/9*12</f>
        <v>1614.5733333333333</v>
      </c>
      <c r="G11" s="31">
        <v>0</v>
      </c>
      <c r="H11" s="31">
        <v>0</v>
      </c>
      <c r="I11" s="29"/>
    </row>
    <row r="12" spans="1:13" x14ac:dyDescent="0.25">
      <c r="A12" s="30" t="s">
        <v>2836</v>
      </c>
      <c r="B12" s="30" t="s">
        <v>2703</v>
      </c>
      <c r="C12" s="31">
        <v>0</v>
      </c>
      <c r="D12" s="31">
        <v>0</v>
      </c>
      <c r="E12" s="31">
        <v>0</v>
      </c>
      <c r="F12" s="31">
        <f>E12/9*12</f>
        <v>0</v>
      </c>
      <c r="G12" s="31">
        <v>0</v>
      </c>
      <c r="H12" s="31">
        <v>0</v>
      </c>
      <c r="I12" s="29"/>
    </row>
    <row r="13" spans="1:13" ht="24" x14ac:dyDescent="0.25">
      <c r="A13" s="23" t="s">
        <v>1210</v>
      </c>
      <c r="B13" s="23" t="s">
        <v>2</v>
      </c>
      <c r="C13" s="32">
        <v>843107.88</v>
      </c>
      <c r="D13" s="32">
        <v>260683.92</v>
      </c>
      <c r="E13" s="32">
        <f>SUM(E10:E12)</f>
        <v>529196.6100000001</v>
      </c>
      <c r="F13" s="32">
        <f>SUM(F10:F12)</f>
        <v>705595.4800000001</v>
      </c>
      <c r="G13" s="32">
        <f>SUM(G10:G12)</f>
        <v>300000</v>
      </c>
      <c r="H13" s="32">
        <f>SUM(H10:H12)</f>
        <v>300000</v>
      </c>
      <c r="I13" s="29"/>
    </row>
    <row r="14" spans="1:13" ht="15" customHeight="1" x14ac:dyDescent="0.25">
      <c r="A14" s="1" t="s">
        <v>740</v>
      </c>
      <c r="B14" s="1" t="s">
        <v>2</v>
      </c>
      <c r="C14" s="40"/>
      <c r="G14" s="40"/>
    </row>
    <row r="15" spans="1:13" ht="15" customHeight="1" x14ac:dyDescent="0.25">
      <c r="A15" s="109" t="s">
        <v>1196</v>
      </c>
      <c r="B15" s="109" t="s">
        <v>1197</v>
      </c>
      <c r="C15" s="110">
        <v>59529</v>
      </c>
      <c r="D15" s="110">
        <v>0</v>
      </c>
      <c r="E15" s="110">
        <v>3920.52</v>
      </c>
      <c r="F15" s="110">
        <v>63041</v>
      </c>
      <c r="G15" s="110">
        <v>63041</v>
      </c>
      <c r="H15" s="110">
        <f>Transfers!$C$42</f>
        <v>65000</v>
      </c>
      <c r="I15" s="108"/>
    </row>
    <row r="16" spans="1:13" ht="15" customHeight="1" x14ac:dyDescent="0.25">
      <c r="A16" s="109" t="s">
        <v>1198</v>
      </c>
      <c r="B16" s="109" t="s">
        <v>1199</v>
      </c>
      <c r="C16" s="110">
        <v>79400</v>
      </c>
      <c r="D16" s="110">
        <v>0</v>
      </c>
      <c r="E16" s="110">
        <v>5900</v>
      </c>
      <c r="F16" s="110">
        <v>81800</v>
      </c>
      <c r="G16" s="110">
        <v>81800</v>
      </c>
      <c r="H16" s="110">
        <f>Transfers!$C$46</f>
        <v>85000</v>
      </c>
      <c r="I16" s="108"/>
    </row>
    <row r="17" spans="1:9" x14ac:dyDescent="0.25">
      <c r="A17" s="109" t="s">
        <v>1200</v>
      </c>
      <c r="B17" s="109" t="s">
        <v>1201</v>
      </c>
      <c r="C17" s="110">
        <v>64794</v>
      </c>
      <c r="D17" s="110">
        <v>0</v>
      </c>
      <c r="E17" s="110">
        <v>32983.74</v>
      </c>
      <c r="F17" s="110">
        <v>65968</v>
      </c>
      <c r="G17" s="110">
        <v>65968</v>
      </c>
      <c r="H17" s="110">
        <f>Transfers!$C$48</f>
        <v>60000</v>
      </c>
      <c r="I17" s="108"/>
    </row>
    <row r="18" spans="1:9" ht="15" customHeight="1" x14ac:dyDescent="0.25">
      <c r="A18" s="109" t="s">
        <v>1202</v>
      </c>
      <c r="B18" s="109" t="s">
        <v>1203</v>
      </c>
      <c r="C18" s="110">
        <v>665000</v>
      </c>
      <c r="D18" s="110">
        <v>0</v>
      </c>
      <c r="E18" s="110">
        <v>0</v>
      </c>
      <c r="F18" s="110">
        <v>0</v>
      </c>
      <c r="G18" s="110">
        <v>0</v>
      </c>
      <c r="H18" s="110">
        <f>Transfers!$C$13</f>
        <v>0</v>
      </c>
      <c r="I18" s="108"/>
    </row>
    <row r="19" spans="1:9" ht="15" customHeight="1" x14ac:dyDescent="0.25">
      <c r="A19" s="109" t="s">
        <v>1204</v>
      </c>
      <c r="B19" s="109" t="s">
        <v>1205</v>
      </c>
      <c r="C19" s="110">
        <v>0</v>
      </c>
      <c r="D19" s="110">
        <v>0</v>
      </c>
      <c r="E19" s="110">
        <v>0</v>
      </c>
      <c r="F19" s="110">
        <v>0</v>
      </c>
      <c r="G19" s="110">
        <v>0</v>
      </c>
      <c r="H19" s="110">
        <f>Transfers!$C$33</f>
        <v>0</v>
      </c>
      <c r="I19" s="108"/>
    </row>
    <row r="20" spans="1:9" ht="15" customHeight="1" x14ac:dyDescent="0.25">
      <c r="A20" s="109" t="s">
        <v>1206</v>
      </c>
      <c r="B20" s="109" t="s">
        <v>1207</v>
      </c>
      <c r="C20" s="110">
        <v>0</v>
      </c>
      <c r="D20" s="110">
        <v>0</v>
      </c>
      <c r="E20" s="110">
        <v>0</v>
      </c>
      <c r="F20" s="110">
        <v>0</v>
      </c>
      <c r="G20" s="110">
        <v>0</v>
      </c>
      <c r="H20" s="110">
        <f>Transfers!$C$55</f>
        <v>0</v>
      </c>
      <c r="I20" s="108"/>
    </row>
    <row r="21" spans="1:9" ht="15" customHeight="1" x14ac:dyDescent="0.25">
      <c r="A21" s="109" t="s">
        <v>1208</v>
      </c>
      <c r="B21" s="109" t="s">
        <v>1209</v>
      </c>
      <c r="C21" s="110">
        <v>7831.12</v>
      </c>
      <c r="D21" s="110">
        <v>0</v>
      </c>
      <c r="E21" s="110">
        <v>0</v>
      </c>
      <c r="F21" s="110">
        <v>210000</v>
      </c>
      <c r="G21" s="110">
        <v>210000</v>
      </c>
      <c r="H21" s="110">
        <f>Transfers!$C$49</f>
        <v>75000</v>
      </c>
      <c r="I21" s="108"/>
    </row>
    <row r="22" spans="1:9" ht="15" customHeight="1" x14ac:dyDescent="0.25">
      <c r="A22" s="1" t="s">
        <v>1210</v>
      </c>
      <c r="B22" s="1" t="s">
        <v>2</v>
      </c>
      <c r="C22" s="4">
        <v>876554.12</v>
      </c>
      <c r="D22" s="4">
        <v>0</v>
      </c>
      <c r="E22" s="4">
        <f>SUM(E15:E21)</f>
        <v>42804.259999999995</v>
      </c>
      <c r="F22" s="4">
        <f>SUM(F15:F21)</f>
        <v>420809</v>
      </c>
      <c r="G22" s="6">
        <f>SUM(G15:G21)</f>
        <v>420809</v>
      </c>
      <c r="H22" s="6">
        <f>SUM(H15:H21)</f>
        <v>285000</v>
      </c>
    </row>
    <row r="23" spans="1:9" ht="15" customHeight="1" x14ac:dyDescent="0.25">
      <c r="A23" s="291" t="s">
        <v>2837</v>
      </c>
      <c r="B23" s="291"/>
      <c r="C23" s="294">
        <f>C7+C13-C22</f>
        <v>863745.1</v>
      </c>
      <c r="D23" s="294">
        <f t="shared" ref="D23:H23" si="0">D7+D13-D22</f>
        <v>1124429.02</v>
      </c>
      <c r="E23" s="294">
        <f t="shared" si="0"/>
        <v>1350137.45</v>
      </c>
      <c r="F23" s="294">
        <f t="shared" si="0"/>
        <v>1148531.58</v>
      </c>
      <c r="G23" s="294">
        <f t="shared" si="0"/>
        <v>742936.10000000009</v>
      </c>
      <c r="H23" s="294">
        <f t="shared" si="0"/>
        <v>1163531.58</v>
      </c>
      <c r="I23" s="291"/>
    </row>
    <row r="24" spans="1:9" x14ac:dyDescent="0.25">
      <c r="A24" s="1" t="s">
        <v>2</v>
      </c>
      <c r="B24" s="1" t="s">
        <v>2</v>
      </c>
      <c r="C24" s="1" t="s">
        <v>2</v>
      </c>
      <c r="D24" s="1" t="s">
        <v>2</v>
      </c>
      <c r="E24" s="1"/>
      <c r="F24" s="1"/>
      <c r="G24" s="1" t="s">
        <v>2</v>
      </c>
      <c r="H24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4DFD8-96BC-4025-9433-C023AB04E2AA}">
  <sheetPr>
    <tabColor rgb="FF92D050"/>
    <pageSetUpPr fitToPage="1"/>
  </sheetPr>
  <dimension ref="A1:M24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4004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H7-F23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2838</v>
      </c>
      <c r="B7" s="291"/>
      <c r="C7" s="294">
        <v>1420620.11</v>
      </c>
      <c r="D7" s="294">
        <v>2201330.37</v>
      </c>
      <c r="E7" s="294">
        <v>2201330.37</v>
      </c>
      <c r="F7" s="294">
        <v>2201330.37</v>
      </c>
      <c r="G7" s="294">
        <v>2201330.37</v>
      </c>
      <c r="H7" s="294">
        <f>F23</f>
        <v>1923980.6500000004</v>
      </c>
      <c r="I7" s="291"/>
    </row>
    <row r="8" spans="1:13" ht="24" x14ac:dyDescent="0.25">
      <c r="A8" s="23" t="s">
        <v>1211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39" t="s">
        <v>2026</v>
      </c>
      <c r="B9" s="23"/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2839</v>
      </c>
      <c r="B10" s="30" t="s">
        <v>2840</v>
      </c>
      <c r="C10" s="31">
        <v>842615.03</v>
      </c>
      <c r="D10" s="31">
        <v>260308.62</v>
      </c>
      <c r="E10" s="31">
        <v>527985.66</v>
      </c>
      <c r="F10" s="31">
        <f>E10/9*12</f>
        <v>703980.88</v>
      </c>
      <c r="G10" s="31">
        <v>300000</v>
      </c>
      <c r="H10" s="31">
        <v>300000</v>
      </c>
      <c r="I10" s="29"/>
    </row>
    <row r="11" spans="1:13" x14ac:dyDescent="0.25">
      <c r="A11" s="30" t="s">
        <v>2841</v>
      </c>
      <c r="B11" s="30" t="s">
        <v>2409</v>
      </c>
      <c r="C11" s="31">
        <v>971.16</v>
      </c>
      <c r="D11" s="31">
        <v>790.89</v>
      </c>
      <c r="E11" s="31">
        <v>2752.05</v>
      </c>
      <c r="F11" s="31">
        <f t="shared" ref="F11:F13" si="0">E11/9*12</f>
        <v>3669.4000000000005</v>
      </c>
      <c r="G11" s="31">
        <v>0</v>
      </c>
      <c r="H11" s="31">
        <v>0</v>
      </c>
      <c r="I11" s="29"/>
    </row>
    <row r="12" spans="1:13" x14ac:dyDescent="0.25">
      <c r="A12" s="30" t="s">
        <v>2842</v>
      </c>
      <c r="B12" s="30" t="s">
        <v>2703</v>
      </c>
      <c r="C12" s="31">
        <v>0</v>
      </c>
      <c r="D12" s="31">
        <v>0</v>
      </c>
      <c r="E12" s="31">
        <v>0</v>
      </c>
      <c r="F12" s="31">
        <f t="shared" si="0"/>
        <v>0</v>
      </c>
      <c r="G12" s="31">
        <v>0</v>
      </c>
      <c r="H12" s="31">
        <v>0</v>
      </c>
      <c r="I12" s="29"/>
    </row>
    <row r="13" spans="1:13" x14ac:dyDescent="0.25">
      <c r="A13" s="30" t="s">
        <v>2843</v>
      </c>
      <c r="B13" s="30" t="s">
        <v>2844</v>
      </c>
      <c r="C13" s="31">
        <v>0</v>
      </c>
      <c r="D13" s="31">
        <v>0</v>
      </c>
      <c r="E13" s="31">
        <v>0</v>
      </c>
      <c r="F13" s="31">
        <f t="shared" si="0"/>
        <v>0</v>
      </c>
      <c r="G13" s="31">
        <v>0</v>
      </c>
      <c r="H13" s="31">
        <v>0</v>
      </c>
      <c r="I13" s="29"/>
    </row>
    <row r="14" spans="1:13" ht="24" x14ac:dyDescent="0.25">
      <c r="A14" s="23" t="s">
        <v>1220</v>
      </c>
      <c r="B14" s="23" t="s">
        <v>2</v>
      </c>
      <c r="C14" s="32">
        <v>843586.19</v>
      </c>
      <c r="D14" s="32">
        <v>261099.51</v>
      </c>
      <c r="E14" s="32">
        <f>SUM(E10:E13)</f>
        <v>530737.71000000008</v>
      </c>
      <c r="F14" s="32">
        <f>SUM(F10:F13)</f>
        <v>707650.28</v>
      </c>
      <c r="G14" s="32">
        <f>SUM(G10:G13)</f>
        <v>300000</v>
      </c>
      <c r="H14" s="32">
        <f>SUM(H10:H13)</f>
        <v>300000</v>
      </c>
      <c r="I14" s="29"/>
    </row>
    <row r="15" spans="1:13" ht="15" customHeight="1" x14ac:dyDescent="0.25">
      <c r="A15" s="1" t="s">
        <v>740</v>
      </c>
      <c r="B15" s="1" t="s">
        <v>2</v>
      </c>
      <c r="C15" s="40"/>
      <c r="D15" s="40"/>
      <c r="E15" s="40"/>
      <c r="F15" s="40"/>
      <c r="G15" s="40"/>
    </row>
    <row r="16" spans="1:13" ht="15" customHeight="1" x14ac:dyDescent="0.25">
      <c r="A16" s="109" t="s">
        <v>1212</v>
      </c>
      <c r="B16" s="109" t="s">
        <v>1213</v>
      </c>
      <c r="C16" s="110">
        <v>54774.81</v>
      </c>
      <c r="D16" s="110">
        <v>776.88</v>
      </c>
      <c r="E16" s="110">
        <v>776.88</v>
      </c>
      <c r="F16" s="110">
        <v>150000</v>
      </c>
      <c r="G16" s="110">
        <v>150000</v>
      </c>
      <c r="H16" s="110">
        <f>Transfers!$C$32</f>
        <v>150000</v>
      </c>
      <c r="I16" s="108"/>
    </row>
    <row r="17" spans="1:9" ht="15" customHeight="1" x14ac:dyDescent="0.25">
      <c r="A17" s="109" t="s">
        <v>1214</v>
      </c>
      <c r="B17" s="109" t="s">
        <v>1215</v>
      </c>
      <c r="C17" s="110">
        <v>270</v>
      </c>
      <c r="D17" s="110">
        <v>0</v>
      </c>
      <c r="E17" s="110">
        <v>0</v>
      </c>
      <c r="F17" s="110">
        <v>625000</v>
      </c>
      <c r="G17" s="110">
        <v>625000</v>
      </c>
      <c r="H17" s="110">
        <f>Transfers!$C$58</f>
        <v>0</v>
      </c>
      <c r="I17" s="108"/>
    </row>
    <row r="18" spans="1:9" ht="15" customHeight="1" x14ac:dyDescent="0.25">
      <c r="A18" s="109" t="s">
        <v>1216</v>
      </c>
      <c r="B18" s="109" t="s">
        <v>1207</v>
      </c>
      <c r="C18" s="110">
        <v>0</v>
      </c>
      <c r="D18" s="110">
        <v>0</v>
      </c>
      <c r="E18" s="110">
        <v>0</v>
      </c>
      <c r="F18" s="110">
        <v>0</v>
      </c>
      <c r="G18" s="110">
        <v>0</v>
      </c>
      <c r="H18" s="110">
        <f>Transfers!$C$56</f>
        <v>0</v>
      </c>
      <c r="I18" s="108"/>
    </row>
    <row r="19" spans="1:9" x14ac:dyDescent="0.25">
      <c r="A19" s="109" t="s">
        <v>1217</v>
      </c>
      <c r="B19" s="109" t="s">
        <v>1218</v>
      </c>
      <c r="C19" s="110">
        <v>0</v>
      </c>
      <c r="D19" s="110">
        <v>0</v>
      </c>
      <c r="E19" s="110">
        <v>0</v>
      </c>
      <c r="F19" s="110">
        <v>0</v>
      </c>
      <c r="G19" s="110">
        <v>0</v>
      </c>
      <c r="H19" s="110">
        <f>Transfers!$C$79</f>
        <v>0</v>
      </c>
      <c r="I19" s="108"/>
    </row>
    <row r="20" spans="1:9" x14ac:dyDescent="0.25">
      <c r="A20" s="109" t="s">
        <v>3419</v>
      </c>
      <c r="B20" s="109" t="s">
        <v>4170</v>
      </c>
      <c r="C20" s="110">
        <v>0</v>
      </c>
      <c r="D20" s="110"/>
      <c r="E20" s="110"/>
      <c r="F20" s="110">
        <v>0</v>
      </c>
      <c r="G20" s="110">
        <v>0</v>
      </c>
      <c r="H20" s="110">
        <f>Transfers!C78</f>
        <v>150000</v>
      </c>
      <c r="I20" s="108"/>
    </row>
    <row r="21" spans="1:9" ht="15" customHeight="1" x14ac:dyDescent="0.25">
      <c r="A21" s="109" t="s">
        <v>1219</v>
      </c>
      <c r="B21" s="109" t="s">
        <v>1209</v>
      </c>
      <c r="C21" s="110">
        <v>7831.12</v>
      </c>
      <c r="D21" s="110">
        <v>0</v>
      </c>
      <c r="E21" s="110">
        <v>0</v>
      </c>
      <c r="F21" s="110">
        <v>210000</v>
      </c>
      <c r="G21" s="110">
        <v>210000</v>
      </c>
      <c r="H21" s="110">
        <f>Transfers!$C$50</f>
        <v>75000</v>
      </c>
      <c r="I21" s="108"/>
    </row>
    <row r="22" spans="1:9" ht="15" customHeight="1" x14ac:dyDescent="0.25">
      <c r="A22" s="1" t="s">
        <v>1220</v>
      </c>
      <c r="B22" s="1" t="s">
        <v>2</v>
      </c>
      <c r="C22" s="4">
        <v>62875.93</v>
      </c>
      <c r="D22" s="4">
        <v>776.88</v>
      </c>
      <c r="E22" s="4">
        <f>SUM(E16:E21)</f>
        <v>776.88</v>
      </c>
      <c r="F22" s="4">
        <f>SUM(F16:F21)</f>
        <v>985000</v>
      </c>
      <c r="G22" s="6">
        <f>SUM(G16:G21)</f>
        <v>985000</v>
      </c>
      <c r="H22" s="6">
        <f>SUM(H16:H21)</f>
        <v>375000</v>
      </c>
    </row>
    <row r="23" spans="1:9" ht="15" customHeight="1" x14ac:dyDescent="0.25">
      <c r="A23" s="291" t="s">
        <v>2845</v>
      </c>
      <c r="B23" s="291" t="s">
        <v>2</v>
      </c>
      <c r="C23" s="294">
        <f>C7+C14-C22</f>
        <v>2201330.3699999996</v>
      </c>
      <c r="D23" s="294">
        <f t="shared" ref="D23:H23" si="1">D7+D14-D22</f>
        <v>2461653</v>
      </c>
      <c r="E23" s="294">
        <f t="shared" si="1"/>
        <v>2731291.2</v>
      </c>
      <c r="F23" s="294">
        <f t="shared" si="1"/>
        <v>1923980.6500000004</v>
      </c>
      <c r="G23" s="294">
        <f t="shared" si="1"/>
        <v>1516330.37</v>
      </c>
      <c r="H23" s="294">
        <f t="shared" si="1"/>
        <v>1848980.6500000004</v>
      </c>
      <c r="I23" s="291"/>
    </row>
    <row r="24" spans="1:9" x14ac:dyDescent="0.25">
      <c r="A24" s="1" t="s">
        <v>2</v>
      </c>
      <c r="B24" s="1" t="s">
        <v>2</v>
      </c>
      <c r="C24" s="1" t="s">
        <v>2</v>
      </c>
      <c r="D24" s="1" t="s">
        <v>2</v>
      </c>
      <c r="E24" s="1"/>
      <c r="F24" s="1"/>
      <c r="G24" s="1" t="s">
        <v>2</v>
      </c>
      <c r="H24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3232-11E4-4E8D-81A9-688A4AD0D4D3}">
  <sheetPr>
    <tabColor rgb="FF92D050"/>
    <pageSetUpPr fitToPage="1"/>
  </sheetPr>
  <dimension ref="A1:M28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4109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H7-F27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2847</v>
      </c>
      <c r="B7" s="291" t="s">
        <v>2</v>
      </c>
      <c r="C7" s="294">
        <v>0</v>
      </c>
      <c r="D7" s="294">
        <v>0</v>
      </c>
      <c r="E7" s="294">
        <v>0</v>
      </c>
      <c r="F7" s="294">
        <v>0</v>
      </c>
      <c r="G7" s="294">
        <v>0</v>
      </c>
      <c r="H7" s="294">
        <f>F27</f>
        <v>290366.65333333332</v>
      </c>
      <c r="I7" s="291"/>
    </row>
    <row r="8" spans="1:13" x14ac:dyDescent="0.25">
      <c r="A8" s="23" t="s">
        <v>1221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1095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2848</v>
      </c>
      <c r="B10" s="30" t="s">
        <v>2849</v>
      </c>
      <c r="C10" s="31">
        <v>0</v>
      </c>
      <c r="D10" s="31">
        <v>0</v>
      </c>
      <c r="E10" s="31">
        <v>0</v>
      </c>
      <c r="F10" s="31">
        <v>0</v>
      </c>
      <c r="G10" s="31">
        <v>480000</v>
      </c>
      <c r="H10" s="31">
        <v>480000</v>
      </c>
      <c r="I10" s="29"/>
    </row>
    <row r="11" spans="1:13" x14ac:dyDescent="0.25">
      <c r="A11" s="30" t="s">
        <v>3559</v>
      </c>
      <c r="B11" s="30" t="s">
        <v>3560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200000</v>
      </c>
      <c r="I11" s="29"/>
    </row>
    <row r="12" spans="1:13" x14ac:dyDescent="0.25">
      <c r="A12" s="30" t="s">
        <v>2850</v>
      </c>
      <c r="B12" s="30" t="s">
        <v>2851</v>
      </c>
      <c r="C12" s="31">
        <v>0</v>
      </c>
      <c r="D12" s="31">
        <v>5000</v>
      </c>
      <c r="E12" s="31">
        <v>15000</v>
      </c>
      <c r="F12" s="31">
        <v>0</v>
      </c>
      <c r="G12" s="31">
        <v>0</v>
      </c>
      <c r="H12" s="31">
        <v>0</v>
      </c>
      <c r="I12" s="29"/>
    </row>
    <row r="13" spans="1:13" x14ac:dyDescent="0.25">
      <c r="A13" s="109" t="s">
        <v>2852</v>
      </c>
      <c r="B13" s="109" t="s">
        <v>2853</v>
      </c>
      <c r="C13" s="110">
        <v>7831.12</v>
      </c>
      <c r="D13" s="110">
        <v>0</v>
      </c>
      <c r="E13" s="110">
        <v>0</v>
      </c>
      <c r="F13" s="110">
        <v>210000</v>
      </c>
      <c r="G13" s="110">
        <v>210000</v>
      </c>
      <c r="H13" s="110">
        <f>Transfers!$C$49</f>
        <v>75000</v>
      </c>
      <c r="I13" s="108"/>
    </row>
    <row r="14" spans="1:13" x14ac:dyDescent="0.25">
      <c r="A14" s="109" t="s">
        <v>2854</v>
      </c>
      <c r="B14" s="109" t="s">
        <v>2855</v>
      </c>
      <c r="C14" s="110">
        <v>7831.12</v>
      </c>
      <c r="D14" s="110">
        <v>0</v>
      </c>
      <c r="E14" s="110">
        <v>0</v>
      </c>
      <c r="F14" s="110">
        <v>210000</v>
      </c>
      <c r="G14" s="110">
        <v>210000</v>
      </c>
      <c r="H14" s="110">
        <f>Transfers!$C$50</f>
        <v>75000</v>
      </c>
      <c r="I14" s="108"/>
    </row>
    <row r="15" spans="1:13" x14ac:dyDescent="0.25">
      <c r="A15" s="109" t="s">
        <v>2856</v>
      </c>
      <c r="B15" s="109" t="s">
        <v>2857</v>
      </c>
      <c r="C15" s="110">
        <v>0</v>
      </c>
      <c r="D15" s="110">
        <v>57179.14</v>
      </c>
      <c r="E15" s="110">
        <v>89946.33</v>
      </c>
      <c r="F15" s="110">
        <v>100000</v>
      </c>
      <c r="G15" s="110">
        <v>100000</v>
      </c>
      <c r="H15" s="110">
        <f>Transfers!$C$51</f>
        <v>75000</v>
      </c>
      <c r="I15" s="108"/>
    </row>
    <row r="16" spans="1:13" x14ac:dyDescent="0.25">
      <c r="A16" s="23" t="s">
        <v>1116</v>
      </c>
      <c r="B16" s="23" t="s">
        <v>2</v>
      </c>
      <c r="C16" s="32">
        <v>15662.24</v>
      </c>
      <c r="D16" s="32">
        <v>62179.14</v>
      </c>
      <c r="E16" s="32">
        <f>SUM(E10:E15)</f>
        <v>104946.33</v>
      </c>
      <c r="F16" s="32">
        <f>SUM(F10:F15)</f>
        <v>520000</v>
      </c>
      <c r="G16" s="32">
        <f>SUM(G10:G15)</f>
        <v>1000000</v>
      </c>
      <c r="H16" s="32">
        <f>SUM(H10:H15)</f>
        <v>905000</v>
      </c>
      <c r="I16" s="29"/>
    </row>
    <row r="17" spans="1:9" x14ac:dyDescent="0.25">
      <c r="A17" s="1" t="s">
        <v>740</v>
      </c>
      <c r="B17" s="1" t="s">
        <v>2</v>
      </c>
    </row>
    <row r="18" spans="1:9" ht="15" customHeight="1" x14ac:dyDescent="0.25">
      <c r="A18" s="2" t="s">
        <v>1222</v>
      </c>
      <c r="B18" s="2" t="s">
        <v>1223</v>
      </c>
      <c r="C18" s="3">
        <v>6114.92</v>
      </c>
      <c r="D18" s="3">
        <v>6711.81</v>
      </c>
      <c r="E18" s="3">
        <v>8745.44</v>
      </c>
      <c r="F18" s="3">
        <f>E18/9*12</f>
        <v>11660.586666666668</v>
      </c>
      <c r="G18" s="3">
        <v>0</v>
      </c>
      <c r="H18" s="5">
        <f>F18*1.05</f>
        <v>12243.616000000002</v>
      </c>
    </row>
    <row r="19" spans="1:9" ht="15" customHeight="1" x14ac:dyDescent="0.25">
      <c r="A19" s="2" t="s">
        <v>1224</v>
      </c>
      <c r="B19" s="2" t="s">
        <v>1225</v>
      </c>
      <c r="C19" s="3">
        <v>518.88</v>
      </c>
      <c r="D19" s="3">
        <v>621.5</v>
      </c>
      <c r="E19" s="3">
        <v>789.16</v>
      </c>
      <c r="F19" s="3">
        <f t="shared" ref="F19:F25" si="0">E19/9*12</f>
        <v>1052.2133333333331</v>
      </c>
      <c r="G19" s="3">
        <v>0</v>
      </c>
      <c r="H19" s="5">
        <f t="shared" ref="H19:H23" si="1">F19*1.05</f>
        <v>1104.8239999999998</v>
      </c>
    </row>
    <row r="20" spans="1:9" ht="15" customHeight="1" x14ac:dyDescent="0.25">
      <c r="A20" s="2" t="s">
        <v>1226</v>
      </c>
      <c r="B20" s="2" t="s">
        <v>1227</v>
      </c>
      <c r="C20" s="3">
        <v>21.3</v>
      </c>
      <c r="D20" s="3">
        <v>22.69</v>
      </c>
      <c r="E20" s="3">
        <v>27.8</v>
      </c>
      <c r="F20" s="3">
        <f t="shared" si="0"/>
        <v>37.06666666666667</v>
      </c>
      <c r="G20" s="3">
        <v>0</v>
      </c>
      <c r="H20" s="5">
        <f t="shared" si="1"/>
        <v>38.92</v>
      </c>
    </row>
    <row r="21" spans="1:9" ht="15" customHeight="1" x14ac:dyDescent="0.25">
      <c r="A21" s="2" t="s">
        <v>1228</v>
      </c>
      <c r="B21" s="2" t="s">
        <v>1229</v>
      </c>
      <c r="C21" s="3">
        <v>465.93</v>
      </c>
      <c r="D21" s="3">
        <v>511.22</v>
      </c>
      <c r="E21" s="3">
        <v>666.23</v>
      </c>
      <c r="F21" s="3">
        <f t="shared" si="0"/>
        <v>888.30666666666662</v>
      </c>
      <c r="G21" s="3">
        <v>0</v>
      </c>
      <c r="H21" s="5">
        <f t="shared" si="1"/>
        <v>932.72199999999998</v>
      </c>
    </row>
    <row r="22" spans="1:9" ht="15" customHeight="1" x14ac:dyDescent="0.25">
      <c r="A22" s="2" t="s">
        <v>1230</v>
      </c>
      <c r="B22" s="2" t="s">
        <v>1231</v>
      </c>
      <c r="C22" s="3">
        <v>836.36</v>
      </c>
      <c r="D22" s="3">
        <v>901.85</v>
      </c>
      <c r="E22" s="3">
        <v>1178.52</v>
      </c>
      <c r="F22" s="3">
        <f t="shared" si="0"/>
        <v>1571.36</v>
      </c>
      <c r="G22" s="3">
        <v>0</v>
      </c>
      <c r="H22" s="5">
        <f t="shared" si="1"/>
        <v>1649.9279999999999</v>
      </c>
    </row>
    <row r="23" spans="1:9" ht="15" customHeight="1" x14ac:dyDescent="0.25">
      <c r="A23" s="2" t="s">
        <v>1232</v>
      </c>
      <c r="B23" s="2" t="s">
        <v>13</v>
      </c>
      <c r="C23" s="3">
        <v>8.98</v>
      </c>
      <c r="D23" s="3">
        <v>13.69</v>
      </c>
      <c r="E23" s="3">
        <v>17.86</v>
      </c>
      <c r="F23" s="3">
        <f t="shared" si="0"/>
        <v>23.813333333333333</v>
      </c>
      <c r="G23" s="3">
        <v>0</v>
      </c>
      <c r="H23" s="5">
        <f t="shared" si="1"/>
        <v>25.004000000000001</v>
      </c>
    </row>
    <row r="24" spans="1:9" ht="15" customHeight="1" x14ac:dyDescent="0.25">
      <c r="A24" s="2" t="s">
        <v>1233</v>
      </c>
      <c r="B24" s="2" t="s">
        <v>1234</v>
      </c>
      <c r="C24" s="3">
        <v>7695.87</v>
      </c>
      <c r="D24" s="3">
        <v>69000</v>
      </c>
      <c r="E24" s="3">
        <v>160800</v>
      </c>
      <c r="F24" s="3">
        <f t="shared" si="0"/>
        <v>214400</v>
      </c>
      <c r="G24" s="3">
        <v>0</v>
      </c>
      <c r="H24" s="5">
        <v>140000</v>
      </c>
    </row>
    <row r="25" spans="1:9" ht="15" customHeight="1" x14ac:dyDescent="0.25">
      <c r="A25" s="2" t="s">
        <v>1235</v>
      </c>
      <c r="B25" s="2" t="s">
        <v>1236</v>
      </c>
      <c r="C25" s="3">
        <v>0</v>
      </c>
      <c r="D25" s="3">
        <v>0</v>
      </c>
      <c r="E25" s="3">
        <v>0</v>
      </c>
      <c r="F25" s="3">
        <f t="shared" si="0"/>
        <v>0</v>
      </c>
      <c r="G25" s="3">
        <v>1000000</v>
      </c>
      <c r="H25" s="5">
        <v>845000</v>
      </c>
    </row>
    <row r="26" spans="1:9" ht="15" customHeight="1" x14ac:dyDescent="0.25">
      <c r="A26" s="1" t="s">
        <v>1237</v>
      </c>
      <c r="B26" s="1" t="s">
        <v>2</v>
      </c>
      <c r="C26" s="4">
        <v>15662.24</v>
      </c>
      <c r="D26" s="4">
        <v>77782.759999999995</v>
      </c>
      <c r="E26" s="4">
        <f>SUM(E18:E25)</f>
        <v>172225.01</v>
      </c>
      <c r="F26" s="4">
        <f>SUM(F18:F25)</f>
        <v>229633.34666666668</v>
      </c>
      <c r="G26" s="6">
        <f>SUM(G18:G25)</f>
        <v>1000000</v>
      </c>
      <c r="H26" s="6">
        <f>SUM(H18:H25)</f>
        <v>1000995.014</v>
      </c>
    </row>
    <row r="27" spans="1:9" ht="15" customHeight="1" x14ac:dyDescent="0.25">
      <c r="A27" s="291" t="s">
        <v>2858</v>
      </c>
      <c r="B27" s="291" t="s">
        <v>2</v>
      </c>
      <c r="C27" s="294">
        <f>C7+C16-C26</f>
        <v>0</v>
      </c>
      <c r="D27" s="294">
        <f t="shared" ref="D27:G27" si="2">D7+D16-D26</f>
        <v>-15603.619999999995</v>
      </c>
      <c r="E27" s="294">
        <f>E7+E16-E26</f>
        <v>-67278.680000000008</v>
      </c>
      <c r="F27" s="294">
        <f>F7+F16-F26</f>
        <v>290366.65333333332</v>
      </c>
      <c r="G27" s="294">
        <f t="shared" si="2"/>
        <v>0</v>
      </c>
      <c r="H27" s="294">
        <f>H7+H16-H26</f>
        <v>194371.63933333335</v>
      </c>
      <c r="I27" s="291"/>
    </row>
    <row r="28" spans="1:9" x14ac:dyDescent="0.25">
      <c r="A28" s="1" t="s">
        <v>2</v>
      </c>
      <c r="B28" s="1" t="s">
        <v>2</v>
      </c>
      <c r="C28" s="36"/>
      <c r="D28" s="1" t="s">
        <v>2</v>
      </c>
      <c r="E28" s="1"/>
      <c r="F28" s="1"/>
      <c r="G28" s="1" t="s">
        <v>2</v>
      </c>
      <c r="H28" s="1" t="s">
        <v>2</v>
      </c>
    </row>
  </sheetData>
  <mergeCells count="2">
    <mergeCell ref="A2:I2"/>
    <mergeCell ref="A3:I3"/>
  </mergeCells>
  <printOptions headings="1"/>
  <pageMargins left="0.2" right="0.2" top="0.75" bottom="0.75" header="0.3" footer="0.3"/>
  <pageSetup paperSize="5" scale="89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E9830-7BF5-4253-81F5-5EFD3A9CD4D2}">
  <sheetPr>
    <tabColor rgb="FF92D050"/>
    <pageSetUpPr fitToPage="1"/>
  </sheetPr>
  <dimension ref="A1:M50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4003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H7-F49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2846</v>
      </c>
      <c r="B7" s="291" t="s">
        <v>2</v>
      </c>
      <c r="C7" s="294">
        <v>447619.74</v>
      </c>
      <c r="D7" s="294">
        <v>923270.94</v>
      </c>
      <c r="E7" s="294">
        <v>923270.94</v>
      </c>
      <c r="F7" s="294">
        <v>923270.94</v>
      </c>
      <c r="G7" s="294">
        <v>923270.94</v>
      </c>
      <c r="H7" s="294">
        <f>F49</f>
        <v>321533.43333333079</v>
      </c>
      <c r="I7" s="291"/>
    </row>
    <row r="8" spans="1:13" x14ac:dyDescent="0.25">
      <c r="A8" s="23" t="s">
        <v>1238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2859</v>
      </c>
      <c r="B10" s="30" t="s">
        <v>2608</v>
      </c>
      <c r="C10" s="31">
        <v>0</v>
      </c>
      <c r="D10" s="31">
        <v>0</v>
      </c>
      <c r="E10" s="31">
        <v>0</v>
      </c>
      <c r="F10" s="31">
        <f t="shared" ref="F10:F16" si="0">E10/9*12</f>
        <v>0</v>
      </c>
      <c r="G10" s="31">
        <v>0</v>
      </c>
      <c r="H10" s="31">
        <v>0</v>
      </c>
      <c r="I10" s="29"/>
    </row>
    <row r="11" spans="1:13" x14ac:dyDescent="0.25">
      <c r="A11" s="30" t="s">
        <v>2860</v>
      </c>
      <c r="B11" s="30" t="s">
        <v>2861</v>
      </c>
      <c r="C11" s="31">
        <v>1673582.64</v>
      </c>
      <c r="D11" s="31">
        <v>216014.56</v>
      </c>
      <c r="E11" s="31">
        <v>3485478.84</v>
      </c>
      <c r="F11" s="31">
        <f t="shared" si="0"/>
        <v>4647305.1199999992</v>
      </c>
      <c r="G11" s="31">
        <v>8693138.1799999997</v>
      </c>
      <c r="H11" s="31">
        <v>5900000</v>
      </c>
      <c r="I11" s="29"/>
    </row>
    <row r="12" spans="1:13" x14ac:dyDescent="0.25">
      <c r="A12" s="30" t="s">
        <v>2862</v>
      </c>
      <c r="B12" s="30" t="s">
        <v>2752</v>
      </c>
      <c r="C12" s="31">
        <v>703178.3</v>
      </c>
      <c r="D12" s="31">
        <v>12205.86</v>
      </c>
      <c r="E12" s="31">
        <v>412125.81</v>
      </c>
      <c r="F12" s="31">
        <f t="shared" si="0"/>
        <v>549501.08000000007</v>
      </c>
      <c r="G12" s="31">
        <v>1806861.82</v>
      </c>
      <c r="H12" s="31">
        <v>1400000</v>
      </c>
      <c r="I12" s="29"/>
    </row>
    <row r="13" spans="1:13" x14ac:dyDescent="0.25">
      <c r="A13" s="30" t="s">
        <v>2863</v>
      </c>
      <c r="B13" s="30" t="s">
        <v>2173</v>
      </c>
      <c r="C13" s="31">
        <v>0</v>
      </c>
      <c r="D13" s="31">
        <v>0</v>
      </c>
      <c r="E13" s="31">
        <v>0</v>
      </c>
      <c r="F13" s="31">
        <f t="shared" si="0"/>
        <v>0</v>
      </c>
      <c r="G13" s="31">
        <v>0</v>
      </c>
      <c r="H13" s="31">
        <v>0</v>
      </c>
      <c r="I13" s="29"/>
    </row>
    <row r="14" spans="1:13" x14ac:dyDescent="0.25">
      <c r="A14" s="30" t="s">
        <v>2864</v>
      </c>
      <c r="B14" s="30" t="s">
        <v>2865</v>
      </c>
      <c r="C14" s="31">
        <v>0</v>
      </c>
      <c r="D14" s="31">
        <v>0</v>
      </c>
      <c r="E14" s="31">
        <v>0</v>
      </c>
      <c r="F14" s="31">
        <f t="shared" si="0"/>
        <v>0</v>
      </c>
      <c r="G14" s="31">
        <v>0</v>
      </c>
      <c r="H14" s="31">
        <v>0</v>
      </c>
      <c r="I14" s="29"/>
    </row>
    <row r="15" spans="1:13" x14ac:dyDescent="0.25">
      <c r="A15" s="30" t="s">
        <v>2866</v>
      </c>
      <c r="B15" s="30" t="s">
        <v>2867</v>
      </c>
      <c r="C15" s="31">
        <v>0</v>
      </c>
      <c r="D15" s="31">
        <v>0</v>
      </c>
      <c r="E15" s="31">
        <v>0</v>
      </c>
      <c r="F15" s="31">
        <f t="shared" si="0"/>
        <v>0</v>
      </c>
      <c r="G15" s="31">
        <v>0</v>
      </c>
      <c r="H15" s="31">
        <v>0</v>
      </c>
      <c r="I15" s="29"/>
    </row>
    <row r="16" spans="1:13" x14ac:dyDescent="0.25">
      <c r="A16" s="30" t="s">
        <v>2868</v>
      </c>
      <c r="B16" s="30" t="s">
        <v>2409</v>
      </c>
      <c r="C16" s="31">
        <v>0</v>
      </c>
      <c r="D16" s="31">
        <v>0</v>
      </c>
      <c r="E16" s="31">
        <v>0</v>
      </c>
      <c r="F16" s="31">
        <f t="shared" si="0"/>
        <v>0</v>
      </c>
      <c r="G16" s="31">
        <v>0</v>
      </c>
      <c r="H16" s="31">
        <v>0</v>
      </c>
      <c r="I16" s="29"/>
    </row>
    <row r="17" spans="1:9" x14ac:dyDescent="0.25">
      <c r="A17" s="23" t="s">
        <v>2</v>
      </c>
      <c r="B17" s="23" t="s">
        <v>2</v>
      </c>
      <c r="C17" s="23" t="s">
        <v>2</v>
      </c>
      <c r="D17" s="23" t="s">
        <v>2</v>
      </c>
      <c r="E17" s="23"/>
      <c r="F17" s="23"/>
      <c r="G17" s="23" t="s">
        <v>2</v>
      </c>
      <c r="H17" s="23" t="s">
        <v>2</v>
      </c>
      <c r="I17" s="29"/>
    </row>
    <row r="18" spans="1:9" x14ac:dyDescent="0.25">
      <c r="A18" s="23" t="s">
        <v>2724</v>
      </c>
      <c r="B18" s="23" t="s">
        <v>2</v>
      </c>
      <c r="C18" s="29"/>
      <c r="D18" s="29"/>
      <c r="E18" s="29"/>
      <c r="F18" s="29"/>
      <c r="G18" s="29"/>
      <c r="H18" s="29"/>
      <c r="I18" s="29"/>
    </row>
    <row r="19" spans="1:9" x14ac:dyDescent="0.25">
      <c r="A19" s="109" t="s">
        <v>2869</v>
      </c>
      <c r="B19" s="109" t="s">
        <v>2870</v>
      </c>
      <c r="C19" s="110">
        <v>0</v>
      </c>
      <c r="D19" s="110">
        <v>0</v>
      </c>
      <c r="E19" s="110">
        <v>0</v>
      </c>
      <c r="F19" s="110">
        <v>0</v>
      </c>
      <c r="G19" s="110">
        <v>0</v>
      </c>
      <c r="H19" s="110">
        <f>Transfers!$C$52</f>
        <v>0</v>
      </c>
      <c r="I19" s="108"/>
    </row>
    <row r="20" spans="1:9" x14ac:dyDescent="0.25">
      <c r="A20" s="109" t="s">
        <v>2871</v>
      </c>
      <c r="B20" s="109" t="s">
        <v>2872</v>
      </c>
      <c r="C20" s="110">
        <v>0</v>
      </c>
      <c r="D20" s="110">
        <v>0</v>
      </c>
      <c r="E20" s="110">
        <v>0</v>
      </c>
      <c r="F20" s="110">
        <v>0</v>
      </c>
      <c r="G20" s="110">
        <v>0</v>
      </c>
      <c r="H20" s="110">
        <f>Transfers!$C$53</f>
        <v>0</v>
      </c>
      <c r="I20" s="108"/>
    </row>
    <row r="21" spans="1:9" x14ac:dyDescent="0.25">
      <c r="A21" s="109" t="s">
        <v>2873</v>
      </c>
      <c r="B21" s="109" t="s">
        <v>2874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0">
        <f>Transfers!$C$54</f>
        <v>0</v>
      </c>
      <c r="I21" s="108"/>
    </row>
    <row r="22" spans="1:9" x14ac:dyDescent="0.25">
      <c r="A22" s="109" t="s">
        <v>2875</v>
      </c>
      <c r="B22" s="109" t="s">
        <v>2876</v>
      </c>
      <c r="C22" s="110">
        <v>0</v>
      </c>
      <c r="D22" s="110">
        <v>0</v>
      </c>
      <c r="E22" s="110">
        <v>0</v>
      </c>
      <c r="F22" s="110">
        <v>0</v>
      </c>
      <c r="G22" s="110">
        <v>0</v>
      </c>
      <c r="H22" s="110">
        <f>Transfers!$C$55</f>
        <v>0</v>
      </c>
      <c r="I22" s="108"/>
    </row>
    <row r="23" spans="1:9" x14ac:dyDescent="0.25">
      <c r="A23" s="109" t="s">
        <v>2877</v>
      </c>
      <c r="B23" s="109" t="s">
        <v>2878</v>
      </c>
      <c r="C23" s="110">
        <v>0</v>
      </c>
      <c r="D23" s="110">
        <v>0</v>
      </c>
      <c r="E23" s="110">
        <v>0</v>
      </c>
      <c r="F23" s="110">
        <v>0</v>
      </c>
      <c r="G23" s="110">
        <v>0</v>
      </c>
      <c r="H23" s="110">
        <f>Transfers!$C$56</f>
        <v>0</v>
      </c>
      <c r="I23" s="108"/>
    </row>
    <row r="24" spans="1:9" x14ac:dyDescent="0.25">
      <c r="A24" s="109" t="s">
        <v>2879</v>
      </c>
      <c r="B24" s="109" t="s">
        <v>2880</v>
      </c>
      <c r="C24" s="110">
        <v>0</v>
      </c>
      <c r="D24" s="110">
        <v>0</v>
      </c>
      <c r="E24" s="110">
        <v>0</v>
      </c>
      <c r="F24" s="110">
        <v>0</v>
      </c>
      <c r="G24" s="110">
        <v>0</v>
      </c>
      <c r="H24" s="110">
        <f>Transfers!$C$57</f>
        <v>0</v>
      </c>
      <c r="I24" s="108"/>
    </row>
    <row r="25" spans="1:9" x14ac:dyDescent="0.25">
      <c r="A25" s="23" t="s">
        <v>2725</v>
      </c>
      <c r="B25" s="23" t="s">
        <v>2</v>
      </c>
      <c r="C25" s="32">
        <v>0</v>
      </c>
      <c r="D25" s="32">
        <v>0</v>
      </c>
      <c r="E25" s="32">
        <f>SUM(E19:E24)</f>
        <v>0</v>
      </c>
      <c r="F25" s="32">
        <f>SUM(F19:F24)</f>
        <v>0</v>
      </c>
      <c r="G25" s="32">
        <f>SUM(G19:G24)</f>
        <v>0</v>
      </c>
      <c r="H25" s="32">
        <f>SUM(H19:H24)</f>
        <v>0</v>
      </c>
      <c r="I25" s="29"/>
    </row>
    <row r="26" spans="1:9" x14ac:dyDescent="0.25">
      <c r="A26" s="23" t="s">
        <v>2</v>
      </c>
      <c r="B26" s="23" t="s">
        <v>2</v>
      </c>
      <c r="C26" s="23" t="s">
        <v>2</v>
      </c>
      <c r="D26" s="23" t="s">
        <v>2</v>
      </c>
      <c r="E26" s="23"/>
      <c r="F26" s="23"/>
      <c r="G26" s="23" t="s">
        <v>2</v>
      </c>
      <c r="H26" s="23" t="s">
        <v>2</v>
      </c>
      <c r="I26" s="29"/>
    </row>
    <row r="27" spans="1:9" x14ac:dyDescent="0.25">
      <c r="A27" s="30" t="s">
        <v>2881</v>
      </c>
      <c r="B27" s="30" t="s">
        <v>2882</v>
      </c>
      <c r="C27" s="31">
        <v>250000</v>
      </c>
      <c r="D27" s="31">
        <v>0</v>
      </c>
      <c r="E27" s="31">
        <v>0</v>
      </c>
      <c r="F27" s="31">
        <v>0</v>
      </c>
      <c r="G27" s="31">
        <v>4000000</v>
      </c>
      <c r="H27" s="31">
        <v>0</v>
      </c>
      <c r="I27" s="29"/>
    </row>
    <row r="28" spans="1:9" x14ac:dyDescent="0.25">
      <c r="A28" s="30"/>
      <c r="B28" s="30"/>
      <c r="C28" s="31"/>
      <c r="D28" s="31"/>
      <c r="E28" s="31"/>
      <c r="F28" s="31"/>
      <c r="G28" s="31"/>
      <c r="H28" s="31"/>
      <c r="I28" s="29"/>
    </row>
    <row r="29" spans="1:9" x14ac:dyDescent="0.25">
      <c r="A29" s="23" t="s">
        <v>1116</v>
      </c>
      <c r="B29" s="23" t="s">
        <v>2</v>
      </c>
      <c r="C29" s="32">
        <v>2626760.94</v>
      </c>
      <c r="D29" s="32">
        <v>228220.42</v>
      </c>
      <c r="E29" s="32">
        <f>SUM(E10:E16)+E25+E27</f>
        <v>3897604.65</v>
      </c>
      <c r="F29" s="32">
        <f>SUM(F10:F16)+F25+F27</f>
        <v>5196806.1999999993</v>
      </c>
      <c r="G29" s="32">
        <f>G27+G25+SUM(G10:G16)</f>
        <v>14500000</v>
      </c>
      <c r="H29" s="32">
        <f>H27+H25+SUM(H10:H16)</f>
        <v>7300000</v>
      </c>
      <c r="I29" s="29"/>
    </row>
    <row r="30" spans="1:9" ht="15" customHeight="1" x14ac:dyDescent="0.25">
      <c r="A30" s="1" t="s">
        <v>740</v>
      </c>
      <c r="B30" s="1"/>
    </row>
    <row r="31" spans="1:9" ht="28.5" customHeight="1" x14ac:dyDescent="0.25">
      <c r="A31" s="1" t="s">
        <v>1239</v>
      </c>
      <c r="B31" s="1" t="s">
        <v>2</v>
      </c>
    </row>
    <row r="32" spans="1:9" ht="15" customHeight="1" x14ac:dyDescent="0.25">
      <c r="A32" s="2" t="s">
        <v>1240</v>
      </c>
      <c r="B32" s="2" t="s">
        <v>1241</v>
      </c>
      <c r="C32" s="3">
        <v>0</v>
      </c>
      <c r="D32" s="3">
        <v>0</v>
      </c>
      <c r="E32" s="3">
        <v>0</v>
      </c>
      <c r="F32" s="3">
        <f t="shared" ref="F32:F41" si="1">E32/9*12</f>
        <v>0</v>
      </c>
      <c r="G32" s="3">
        <v>0</v>
      </c>
      <c r="H32" s="5">
        <v>0</v>
      </c>
    </row>
    <row r="33" spans="1:9" ht="15" customHeight="1" x14ac:dyDescent="0.25">
      <c r="A33" s="2" t="s">
        <v>1242</v>
      </c>
      <c r="B33" s="2" t="s">
        <v>144</v>
      </c>
      <c r="C33" s="3">
        <v>0</v>
      </c>
      <c r="D33" s="3">
        <v>0</v>
      </c>
      <c r="E33" s="3">
        <v>41.11</v>
      </c>
      <c r="F33" s="3">
        <f t="shared" si="1"/>
        <v>54.813333333333333</v>
      </c>
      <c r="G33" s="3">
        <v>0</v>
      </c>
      <c r="H33" s="5">
        <v>0</v>
      </c>
    </row>
    <row r="34" spans="1:9" ht="15" customHeight="1" x14ac:dyDescent="0.25">
      <c r="A34" s="2" t="s">
        <v>1243</v>
      </c>
      <c r="B34" s="2" t="s">
        <v>1244</v>
      </c>
      <c r="C34" s="3">
        <v>0</v>
      </c>
      <c r="D34" s="3">
        <v>0</v>
      </c>
      <c r="E34" s="3">
        <v>0</v>
      </c>
      <c r="F34" s="3">
        <f t="shared" si="1"/>
        <v>0</v>
      </c>
      <c r="G34" s="3">
        <v>0</v>
      </c>
      <c r="H34" s="5">
        <v>0</v>
      </c>
    </row>
    <row r="35" spans="1:9" ht="15" customHeight="1" x14ac:dyDescent="0.25">
      <c r="A35" s="2" t="s">
        <v>1245</v>
      </c>
      <c r="B35" s="2" t="s">
        <v>1246</v>
      </c>
      <c r="C35" s="3">
        <v>143219.82</v>
      </c>
      <c r="D35" s="3">
        <v>38241.24</v>
      </c>
      <c r="E35" s="3">
        <v>262065.46</v>
      </c>
      <c r="F35" s="3">
        <f t="shared" si="1"/>
        <v>349420.61333333334</v>
      </c>
      <c r="G35" s="3">
        <v>1500000</v>
      </c>
      <c r="H35" s="5">
        <v>1620000</v>
      </c>
    </row>
    <row r="36" spans="1:9" ht="15" customHeight="1" x14ac:dyDescent="0.25">
      <c r="A36" s="2" t="s">
        <v>1247</v>
      </c>
      <c r="B36" s="2" t="s">
        <v>1248</v>
      </c>
      <c r="C36" s="3">
        <v>0</v>
      </c>
      <c r="D36" s="3">
        <v>0</v>
      </c>
      <c r="E36" s="3">
        <v>0</v>
      </c>
      <c r="F36" s="3">
        <f t="shared" si="1"/>
        <v>0</v>
      </c>
      <c r="G36" s="3">
        <v>0</v>
      </c>
      <c r="H36" s="5">
        <v>0</v>
      </c>
    </row>
    <row r="37" spans="1:9" x14ac:dyDescent="0.25">
      <c r="A37" s="2" t="s">
        <v>1249</v>
      </c>
      <c r="B37" s="2" t="s">
        <v>1250</v>
      </c>
      <c r="C37" s="3">
        <v>4100.7700000000004</v>
      </c>
      <c r="D37" s="3">
        <v>0</v>
      </c>
      <c r="E37" s="3">
        <v>0</v>
      </c>
      <c r="F37" s="3">
        <f t="shared" si="1"/>
        <v>0</v>
      </c>
      <c r="G37" s="3">
        <v>0</v>
      </c>
      <c r="H37" s="5">
        <v>0</v>
      </c>
    </row>
    <row r="38" spans="1:9" ht="15" customHeight="1" x14ac:dyDescent="0.25">
      <c r="A38" s="2" t="s">
        <v>1251</v>
      </c>
      <c r="B38" s="2" t="s">
        <v>1252</v>
      </c>
      <c r="C38" s="3">
        <v>0</v>
      </c>
      <c r="D38" s="3">
        <v>0</v>
      </c>
      <c r="E38" s="3">
        <v>0</v>
      </c>
      <c r="F38" s="3">
        <f t="shared" si="1"/>
        <v>0</v>
      </c>
      <c r="G38" s="3">
        <v>0</v>
      </c>
      <c r="H38" s="5">
        <v>0</v>
      </c>
    </row>
    <row r="39" spans="1:9" x14ac:dyDescent="0.25">
      <c r="A39" s="2" t="s">
        <v>1253</v>
      </c>
      <c r="B39" s="2" t="s">
        <v>1254</v>
      </c>
      <c r="C39" s="3">
        <v>108255.38</v>
      </c>
      <c r="D39" s="3">
        <v>79835.37</v>
      </c>
      <c r="E39" s="3">
        <v>145414.99</v>
      </c>
      <c r="F39" s="3">
        <f t="shared" si="1"/>
        <v>193886.65333333332</v>
      </c>
      <c r="G39" s="3">
        <v>0</v>
      </c>
      <c r="H39" s="5">
        <v>0</v>
      </c>
    </row>
    <row r="40" spans="1:9" ht="15" customHeight="1" x14ac:dyDescent="0.25">
      <c r="A40" s="2" t="s">
        <v>1255</v>
      </c>
      <c r="B40" s="2" t="s">
        <v>1256</v>
      </c>
      <c r="C40" s="3">
        <v>1611310.82</v>
      </c>
      <c r="D40" s="3">
        <v>308227.5</v>
      </c>
      <c r="E40" s="3">
        <v>3905613.49</v>
      </c>
      <c r="F40" s="3">
        <f t="shared" si="1"/>
        <v>5207484.6533333343</v>
      </c>
      <c r="G40" s="3">
        <v>9000000</v>
      </c>
      <c r="H40" s="5">
        <v>5655000</v>
      </c>
    </row>
    <row r="41" spans="1:9" ht="15" customHeight="1" x14ac:dyDescent="0.25">
      <c r="A41" s="2" t="s">
        <v>1257</v>
      </c>
      <c r="B41" s="2" t="s">
        <v>1258</v>
      </c>
      <c r="C41" s="3">
        <v>32378.3</v>
      </c>
      <c r="D41" s="3">
        <v>31024.87</v>
      </c>
      <c r="E41" s="3">
        <v>35772.730000000003</v>
      </c>
      <c r="F41" s="3">
        <f t="shared" si="1"/>
        <v>47696.973333333335</v>
      </c>
      <c r="G41" s="3">
        <v>0</v>
      </c>
      <c r="H41" s="5">
        <v>0</v>
      </c>
    </row>
    <row r="42" spans="1:9" ht="26.25" customHeight="1" x14ac:dyDescent="0.25">
      <c r="A42" s="1" t="s">
        <v>1259</v>
      </c>
      <c r="B42" s="1" t="s">
        <v>2</v>
      </c>
      <c r="C42" s="4">
        <v>1899265.09</v>
      </c>
      <c r="D42" s="4">
        <v>457328.98</v>
      </c>
      <c r="E42" s="4">
        <f>SUM(E32:E41)</f>
        <v>4348907.78</v>
      </c>
      <c r="F42" s="4">
        <f>SUM(F32:F41)</f>
        <v>5798543.7066666679</v>
      </c>
      <c r="G42" s="6">
        <f>SUM(G32:G41)</f>
        <v>10500000</v>
      </c>
      <c r="H42" s="6">
        <f>SUM(H32:H41)</f>
        <v>7275000</v>
      </c>
    </row>
    <row r="43" spans="1:9" x14ac:dyDescent="0.25">
      <c r="A43" s="1" t="s">
        <v>2</v>
      </c>
      <c r="B43" s="1" t="s">
        <v>2</v>
      </c>
      <c r="C43" s="1" t="s">
        <v>2</v>
      </c>
      <c r="D43" s="1" t="s">
        <v>2</v>
      </c>
      <c r="E43" s="1"/>
      <c r="F43" s="1"/>
      <c r="G43" s="1" t="s">
        <v>2</v>
      </c>
      <c r="H43" s="1" t="s">
        <v>2</v>
      </c>
    </row>
    <row r="44" spans="1:9" ht="15" customHeight="1" x14ac:dyDescent="0.25">
      <c r="A44" s="109" t="s">
        <v>1260</v>
      </c>
      <c r="B44" s="109" t="s">
        <v>1261</v>
      </c>
      <c r="C44" s="110">
        <v>0</v>
      </c>
      <c r="D44" s="110">
        <v>0</v>
      </c>
      <c r="E44" s="110">
        <v>0</v>
      </c>
      <c r="F44" s="110">
        <v>0</v>
      </c>
      <c r="G44" s="110">
        <v>0</v>
      </c>
      <c r="H44" s="110">
        <f>Transfers!$C$22</f>
        <v>0</v>
      </c>
      <c r="I44" s="108"/>
    </row>
    <row r="45" spans="1:9" ht="15" customHeight="1" x14ac:dyDescent="0.25">
      <c r="A45" s="2" t="s">
        <v>1262</v>
      </c>
      <c r="B45" s="2" t="s">
        <v>1263</v>
      </c>
      <c r="C45" s="3">
        <v>250000</v>
      </c>
      <c r="D45" s="3">
        <v>0</v>
      </c>
      <c r="E45" s="3">
        <v>0</v>
      </c>
      <c r="F45" s="3">
        <v>0</v>
      </c>
      <c r="G45" s="3">
        <v>4000000</v>
      </c>
      <c r="H45" s="5">
        <v>0</v>
      </c>
    </row>
    <row r="46" spans="1:9" x14ac:dyDescent="0.25">
      <c r="A46" s="2" t="s">
        <v>1264</v>
      </c>
      <c r="B46" s="2" t="s">
        <v>1265</v>
      </c>
      <c r="C46" s="3">
        <v>1844.65</v>
      </c>
      <c r="D46" s="3">
        <v>0</v>
      </c>
      <c r="E46" s="3">
        <v>0</v>
      </c>
      <c r="F46" s="3">
        <v>0</v>
      </c>
      <c r="G46" s="3">
        <v>20000</v>
      </c>
      <c r="H46" s="5">
        <v>0</v>
      </c>
    </row>
    <row r="47" spans="1:9" x14ac:dyDescent="0.25">
      <c r="A47" s="2"/>
      <c r="B47" s="2"/>
      <c r="C47" s="3"/>
      <c r="D47" s="3"/>
      <c r="E47" s="3"/>
      <c r="F47" s="3"/>
      <c r="G47" s="3"/>
      <c r="H47" s="5"/>
    </row>
    <row r="48" spans="1:9" ht="15" customHeight="1" x14ac:dyDescent="0.25">
      <c r="A48" s="1" t="s">
        <v>1266</v>
      </c>
      <c r="B48" s="1" t="s">
        <v>2</v>
      </c>
      <c r="C48" s="4">
        <v>2151109.7400000002</v>
      </c>
      <c r="D48" s="4">
        <v>457328.98</v>
      </c>
      <c r="E48" s="4">
        <f>E42+E44+E45+E46</f>
        <v>4348907.78</v>
      </c>
      <c r="F48" s="4">
        <f>F42+F44+F45+F46</f>
        <v>5798543.7066666679</v>
      </c>
      <c r="G48" s="6">
        <f>SUM(G44:G46)+G42</f>
        <v>14520000</v>
      </c>
      <c r="H48" s="6">
        <f>SUM(H44:H46)+H42</f>
        <v>7275000</v>
      </c>
    </row>
    <row r="49" spans="1:9" ht="15" customHeight="1" x14ac:dyDescent="0.25">
      <c r="A49" s="291" t="s">
        <v>2883</v>
      </c>
      <c r="B49" s="291" t="s">
        <v>2</v>
      </c>
      <c r="C49" s="294">
        <f>C7+C29-C48</f>
        <v>923270.93999999948</v>
      </c>
      <c r="D49" s="294">
        <f t="shared" ref="D49:H49" si="2">D7+D29-D48</f>
        <v>694162.37999999989</v>
      </c>
      <c r="E49" s="294">
        <f t="shared" si="2"/>
        <v>471967.80999999959</v>
      </c>
      <c r="F49" s="294">
        <f t="shared" si="2"/>
        <v>321533.43333333079</v>
      </c>
      <c r="G49" s="294">
        <f t="shared" si="2"/>
        <v>903270.93999999948</v>
      </c>
      <c r="H49" s="294">
        <f t="shared" si="2"/>
        <v>346533.43333333079</v>
      </c>
      <c r="I49" s="291"/>
    </row>
    <row r="50" spans="1:9" x14ac:dyDescent="0.25">
      <c r="A50" s="1" t="s">
        <v>2</v>
      </c>
      <c r="B50" s="1" t="s">
        <v>2</v>
      </c>
      <c r="C50" s="1" t="s">
        <v>2</v>
      </c>
      <c r="D50" s="1" t="s">
        <v>2</v>
      </c>
      <c r="E50" s="1"/>
      <c r="F50" s="1"/>
      <c r="G50" s="1" t="s">
        <v>2</v>
      </c>
      <c r="H50" s="1" t="s">
        <v>2</v>
      </c>
    </row>
  </sheetData>
  <mergeCells count="2">
    <mergeCell ref="A2:I2"/>
    <mergeCell ref="A3:I3"/>
  </mergeCells>
  <printOptions headings="1"/>
  <pageMargins left="0.2" right="0.2" top="0.75" bottom="0.75" header="0.3" footer="0.3"/>
  <pageSetup paperSize="5" scale="89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DCEE-30D3-42A6-8F24-1D7C0D520D79}">
  <sheetPr>
    <tabColor rgb="FF92D050"/>
    <pageSetUpPr fitToPage="1"/>
  </sheetPr>
  <dimension ref="A1:M255"/>
  <sheetViews>
    <sheetView showGridLines="0" zoomScaleNormal="100" workbookViewId="0">
      <pane ySplit="5" topLeftCell="A179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style="250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4002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H7-F254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2884</v>
      </c>
      <c r="B7" s="291" t="s">
        <v>2</v>
      </c>
      <c r="C7" s="294">
        <v>2986587.26</v>
      </c>
      <c r="D7" s="294">
        <v>4441881.0599999996</v>
      </c>
      <c r="E7" s="294">
        <v>4441881.0599999996</v>
      </c>
      <c r="F7" s="294">
        <v>4441881.0599999996</v>
      </c>
      <c r="G7" s="294">
        <v>4441881.0599999996</v>
      </c>
      <c r="H7" s="294">
        <f>F254</f>
        <v>6607163.2633333346</v>
      </c>
      <c r="I7" s="291"/>
    </row>
    <row r="8" spans="1:13" x14ac:dyDescent="0.25">
      <c r="A8" s="23" t="s">
        <v>1267</v>
      </c>
      <c r="B8" s="23" t="s">
        <v>2</v>
      </c>
      <c r="C8" s="29"/>
      <c r="D8" s="29"/>
      <c r="E8" s="29"/>
      <c r="F8" s="29"/>
      <c r="G8" s="29"/>
      <c r="H8" s="29"/>
      <c r="I8" s="251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51"/>
    </row>
    <row r="10" spans="1:13" x14ac:dyDescent="0.25">
      <c r="A10" s="23" t="s">
        <v>2048</v>
      </c>
      <c r="B10" s="23" t="s">
        <v>2</v>
      </c>
      <c r="C10" s="29"/>
      <c r="D10" s="29"/>
      <c r="E10" s="29"/>
      <c r="F10" s="29"/>
      <c r="G10" s="29"/>
      <c r="H10" s="29"/>
      <c r="I10" s="251"/>
    </row>
    <row r="11" spans="1:13" x14ac:dyDescent="0.25">
      <c r="A11" s="30" t="s">
        <v>2885</v>
      </c>
      <c r="B11" s="30" t="s">
        <v>2886</v>
      </c>
      <c r="C11" s="31">
        <v>6912</v>
      </c>
      <c r="D11" s="31">
        <v>6912</v>
      </c>
      <c r="E11" s="31">
        <v>6912</v>
      </c>
      <c r="F11" s="31">
        <f>E11/9*12</f>
        <v>9216</v>
      </c>
      <c r="G11" s="31">
        <v>6912</v>
      </c>
      <c r="H11" s="31">
        <v>6912</v>
      </c>
      <c r="I11" s="251"/>
    </row>
    <row r="12" spans="1:13" x14ac:dyDescent="0.25">
      <c r="A12" s="23" t="s">
        <v>2101</v>
      </c>
      <c r="B12" s="23" t="s">
        <v>2</v>
      </c>
      <c r="C12" s="32">
        <v>6912</v>
      </c>
      <c r="D12" s="32">
        <v>6912</v>
      </c>
      <c r="E12" s="32">
        <f>E11</f>
        <v>6912</v>
      </c>
      <c r="F12" s="32">
        <f>F11</f>
        <v>9216</v>
      </c>
      <c r="G12" s="32">
        <f>SUM(G11)</f>
        <v>6912</v>
      </c>
      <c r="H12" s="32">
        <f>SUM(H11)</f>
        <v>6912</v>
      </c>
      <c r="I12" s="251"/>
    </row>
    <row r="13" spans="1:13" x14ac:dyDescent="0.25">
      <c r="A13" s="23" t="s">
        <v>2</v>
      </c>
      <c r="B13" s="23" t="s">
        <v>2</v>
      </c>
      <c r="C13" s="23" t="s">
        <v>2</v>
      </c>
      <c r="D13" s="23" t="s">
        <v>2</v>
      </c>
      <c r="E13" s="23"/>
      <c r="F13" s="23"/>
      <c r="G13" s="23" t="s">
        <v>2</v>
      </c>
      <c r="H13" s="23" t="s">
        <v>2</v>
      </c>
      <c r="I13" s="251"/>
    </row>
    <row r="14" spans="1:13" x14ac:dyDescent="0.25">
      <c r="A14" s="23" t="s">
        <v>2102</v>
      </c>
      <c r="B14" s="23" t="s">
        <v>2</v>
      </c>
      <c r="C14" s="29"/>
      <c r="D14" s="29"/>
      <c r="E14" s="29"/>
      <c r="F14" s="29"/>
      <c r="G14" s="29"/>
      <c r="H14" s="29"/>
      <c r="I14" s="251"/>
    </row>
    <row r="15" spans="1:13" x14ac:dyDescent="0.25">
      <c r="A15" s="30" t="s">
        <v>2887</v>
      </c>
      <c r="B15" s="30" t="s">
        <v>2608</v>
      </c>
      <c r="C15" s="31">
        <v>0</v>
      </c>
      <c r="D15" s="31">
        <v>0</v>
      </c>
      <c r="E15" s="31">
        <v>0</v>
      </c>
      <c r="F15" s="31">
        <f t="shared" ref="F15:F17" si="0">E15/9*12</f>
        <v>0</v>
      </c>
      <c r="G15" s="31">
        <v>0</v>
      </c>
      <c r="H15" s="31">
        <v>0</v>
      </c>
      <c r="I15" s="251"/>
    </row>
    <row r="16" spans="1:13" x14ac:dyDescent="0.25">
      <c r="A16" s="30" t="s">
        <v>2888</v>
      </c>
      <c r="B16" s="30" t="s">
        <v>2889</v>
      </c>
      <c r="C16" s="31">
        <v>0</v>
      </c>
      <c r="D16" s="31">
        <v>0</v>
      </c>
      <c r="E16" s="31">
        <v>0</v>
      </c>
      <c r="F16" s="31">
        <f t="shared" si="0"/>
        <v>0</v>
      </c>
      <c r="G16" s="31">
        <v>0</v>
      </c>
      <c r="H16" s="31">
        <v>0</v>
      </c>
      <c r="I16" s="251"/>
    </row>
    <row r="17" spans="1:9" x14ac:dyDescent="0.25">
      <c r="A17" s="30" t="s">
        <v>2890</v>
      </c>
      <c r="B17" s="30" t="s">
        <v>2123</v>
      </c>
      <c r="C17" s="31">
        <v>598.72</v>
      </c>
      <c r="D17" s="31">
        <v>0</v>
      </c>
      <c r="E17" s="31">
        <v>0</v>
      </c>
      <c r="F17" s="31">
        <f t="shared" si="0"/>
        <v>0</v>
      </c>
      <c r="G17" s="31">
        <v>0</v>
      </c>
      <c r="H17" s="31">
        <v>0</v>
      </c>
      <c r="I17" s="251"/>
    </row>
    <row r="18" spans="1:9" x14ac:dyDescent="0.25">
      <c r="A18" s="30" t="s">
        <v>3557</v>
      </c>
      <c r="B18" s="30" t="s">
        <v>3560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525000</v>
      </c>
      <c r="I18" s="251"/>
    </row>
    <row r="19" spans="1:9" x14ac:dyDescent="0.25">
      <c r="A19" s="30" t="s">
        <v>3557</v>
      </c>
      <c r="B19" s="30" t="s">
        <v>3561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325000</v>
      </c>
      <c r="I19" s="251" t="s">
        <v>4037</v>
      </c>
    </row>
    <row r="20" spans="1:9" x14ac:dyDescent="0.25">
      <c r="A20" s="30" t="s">
        <v>3557</v>
      </c>
      <c r="B20" s="30" t="s">
        <v>3562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250000</v>
      </c>
      <c r="I20" s="251"/>
    </row>
    <row r="21" spans="1:9" ht="24" x14ac:dyDescent="0.25">
      <c r="A21" s="23" t="s">
        <v>2174</v>
      </c>
      <c r="B21" s="23" t="s">
        <v>2</v>
      </c>
      <c r="C21" s="32">
        <v>598.72</v>
      </c>
      <c r="D21" s="32">
        <v>0</v>
      </c>
      <c r="E21" s="32">
        <f>SUM(E15:E20)</f>
        <v>0</v>
      </c>
      <c r="F21" s="32">
        <f>SUM(F15:F20)</f>
        <v>0</v>
      </c>
      <c r="G21" s="32">
        <f>SUM(G15:G20)</f>
        <v>0</v>
      </c>
      <c r="H21" s="32">
        <f>SUM(H15:H20)</f>
        <v>1100000</v>
      </c>
      <c r="I21" s="251"/>
    </row>
    <row r="22" spans="1:9" x14ac:dyDescent="0.25">
      <c r="A22" s="23" t="s">
        <v>2</v>
      </c>
      <c r="B22" s="23" t="s">
        <v>2</v>
      </c>
      <c r="C22" s="23" t="s">
        <v>2</v>
      </c>
      <c r="D22" s="23" t="s">
        <v>2</v>
      </c>
      <c r="E22" s="23"/>
      <c r="F22" s="23"/>
      <c r="G22" s="23" t="s">
        <v>2</v>
      </c>
      <c r="H22" s="23" t="s">
        <v>2</v>
      </c>
      <c r="I22" s="251"/>
    </row>
    <row r="23" spans="1:9" ht="24" x14ac:dyDescent="0.25">
      <c r="A23" s="23" t="s">
        <v>2706</v>
      </c>
      <c r="B23" s="23" t="s">
        <v>2</v>
      </c>
      <c r="C23" s="29"/>
      <c r="D23" s="29"/>
      <c r="E23" s="29"/>
      <c r="F23" s="29"/>
      <c r="G23" s="29"/>
      <c r="H23" s="29"/>
      <c r="I23" s="251"/>
    </row>
    <row r="24" spans="1:9" x14ac:dyDescent="0.25">
      <c r="A24" s="23" t="s">
        <v>2707</v>
      </c>
      <c r="B24" s="23" t="s">
        <v>2</v>
      </c>
      <c r="C24" s="29"/>
      <c r="D24" s="29"/>
      <c r="E24" s="29"/>
      <c r="F24" s="29"/>
      <c r="G24" s="29"/>
      <c r="H24" s="29"/>
      <c r="I24" s="251"/>
    </row>
    <row r="25" spans="1:9" x14ac:dyDescent="0.25">
      <c r="A25" s="30" t="s">
        <v>2891</v>
      </c>
      <c r="B25" s="30" t="s">
        <v>2892</v>
      </c>
      <c r="C25" s="31">
        <v>1315160.0900000001</v>
      </c>
      <c r="D25" s="31">
        <v>382170.9</v>
      </c>
      <c r="E25" s="31">
        <v>663702.80000000005</v>
      </c>
      <c r="F25" s="31">
        <f t="shared" ref="F25:F43" si="1">E25/9*12</f>
        <v>884937.06666666665</v>
      </c>
      <c r="G25" s="31">
        <v>660977</v>
      </c>
      <c r="H25" s="31">
        <f>G25*1.079</f>
        <v>713194.18299999996</v>
      </c>
      <c r="I25" s="251"/>
    </row>
    <row r="26" spans="1:9" x14ac:dyDescent="0.25">
      <c r="A26" s="30" t="s">
        <v>2893</v>
      </c>
      <c r="B26" s="30" t="s">
        <v>2894</v>
      </c>
      <c r="C26" s="31">
        <v>11451.2</v>
      </c>
      <c r="D26" s="31">
        <v>6860</v>
      </c>
      <c r="E26" s="31">
        <v>11240.8</v>
      </c>
      <c r="F26" s="31">
        <f t="shared" si="1"/>
        <v>14987.733333333332</v>
      </c>
      <c r="G26" s="31">
        <v>0</v>
      </c>
      <c r="H26" s="31">
        <f t="shared" ref="H26:H31" si="2">G26*1.05</f>
        <v>0</v>
      </c>
      <c r="I26" s="251"/>
    </row>
    <row r="27" spans="1:9" x14ac:dyDescent="0.25">
      <c r="A27" s="30" t="s">
        <v>2895</v>
      </c>
      <c r="B27" s="30" t="s">
        <v>2896</v>
      </c>
      <c r="C27" s="31">
        <v>0</v>
      </c>
      <c r="D27" s="31">
        <v>0</v>
      </c>
      <c r="E27" s="31">
        <v>0</v>
      </c>
      <c r="F27" s="31">
        <f t="shared" si="1"/>
        <v>0</v>
      </c>
      <c r="G27" s="31">
        <v>0</v>
      </c>
      <c r="H27" s="31">
        <f t="shared" si="2"/>
        <v>0</v>
      </c>
      <c r="I27" s="251"/>
    </row>
    <row r="28" spans="1:9" x14ac:dyDescent="0.25">
      <c r="A28" s="30" t="s">
        <v>2897</v>
      </c>
      <c r="B28" s="30" t="s">
        <v>2898</v>
      </c>
      <c r="C28" s="31">
        <v>3386313.24</v>
      </c>
      <c r="D28" s="31">
        <v>1683144.99</v>
      </c>
      <c r="E28" s="31">
        <v>3017387.29</v>
      </c>
      <c r="F28" s="31">
        <f t="shared" si="1"/>
        <v>4023183.0533333332</v>
      </c>
      <c r="G28" s="31">
        <v>3652679</v>
      </c>
      <c r="H28" s="31">
        <f t="shared" si="2"/>
        <v>3835312.95</v>
      </c>
      <c r="I28" s="251"/>
    </row>
    <row r="29" spans="1:9" x14ac:dyDescent="0.25">
      <c r="A29" s="30" t="s">
        <v>2899</v>
      </c>
      <c r="B29" s="30" t="s">
        <v>2900</v>
      </c>
      <c r="C29" s="31">
        <v>83214.42</v>
      </c>
      <c r="D29" s="31">
        <v>38462.47</v>
      </c>
      <c r="E29" s="31">
        <v>69042.039999999994</v>
      </c>
      <c r="F29" s="31">
        <f t="shared" si="1"/>
        <v>92056.053333333315</v>
      </c>
      <c r="G29" s="31">
        <v>75000</v>
      </c>
      <c r="H29" s="31">
        <f t="shared" si="2"/>
        <v>78750</v>
      </c>
      <c r="I29" s="251"/>
    </row>
    <row r="30" spans="1:9" x14ac:dyDescent="0.25">
      <c r="A30" s="30" t="s">
        <v>2901</v>
      </c>
      <c r="B30" s="30" t="s">
        <v>2902</v>
      </c>
      <c r="C30" s="31">
        <v>0</v>
      </c>
      <c r="D30" s="31">
        <v>0</v>
      </c>
      <c r="E30" s="31">
        <v>0</v>
      </c>
      <c r="F30" s="31">
        <f t="shared" si="1"/>
        <v>0</v>
      </c>
      <c r="G30" s="31">
        <v>0</v>
      </c>
      <c r="H30" s="31">
        <f t="shared" si="2"/>
        <v>0</v>
      </c>
      <c r="I30" s="251"/>
    </row>
    <row r="31" spans="1:9" x14ac:dyDescent="0.25">
      <c r="A31" s="30" t="s">
        <v>2903</v>
      </c>
      <c r="B31" s="30" t="s">
        <v>2904</v>
      </c>
      <c r="C31" s="31">
        <v>0</v>
      </c>
      <c r="D31" s="31">
        <v>0</v>
      </c>
      <c r="E31" s="31">
        <v>0</v>
      </c>
      <c r="F31" s="31">
        <f t="shared" si="1"/>
        <v>0</v>
      </c>
      <c r="G31" s="31">
        <v>0</v>
      </c>
      <c r="H31" s="31">
        <f t="shared" si="2"/>
        <v>0</v>
      </c>
      <c r="I31" s="251"/>
    </row>
    <row r="32" spans="1:9" x14ac:dyDescent="0.25">
      <c r="A32" s="30" t="s">
        <v>2905</v>
      </c>
      <c r="B32" s="30" t="s">
        <v>2906</v>
      </c>
      <c r="C32" s="31">
        <v>8925.25</v>
      </c>
      <c r="D32" s="31">
        <v>2492.91</v>
      </c>
      <c r="E32" s="31">
        <v>2546.8200000000002</v>
      </c>
      <c r="F32" s="31">
        <f t="shared" si="1"/>
        <v>3395.76</v>
      </c>
      <c r="G32" s="31">
        <v>3000</v>
      </c>
      <c r="H32" s="31">
        <f>G32</f>
        <v>3000</v>
      </c>
      <c r="I32" s="251"/>
    </row>
    <row r="33" spans="1:9" x14ac:dyDescent="0.25">
      <c r="A33" s="30" t="s">
        <v>2907</v>
      </c>
      <c r="B33" s="30" t="s">
        <v>2908</v>
      </c>
      <c r="C33" s="31">
        <v>0</v>
      </c>
      <c r="D33" s="31">
        <v>810</v>
      </c>
      <c r="E33" s="31">
        <v>3006</v>
      </c>
      <c r="F33" s="31">
        <f t="shared" si="1"/>
        <v>4008</v>
      </c>
      <c r="G33" s="31">
        <v>0</v>
      </c>
      <c r="H33" s="31">
        <f t="shared" ref="H33:H43" si="3">G33</f>
        <v>0</v>
      </c>
      <c r="I33" s="251"/>
    </row>
    <row r="34" spans="1:9" x14ac:dyDescent="0.25">
      <c r="A34" s="30" t="s">
        <v>2909</v>
      </c>
      <c r="B34" s="30" t="s">
        <v>2910</v>
      </c>
      <c r="C34" s="31">
        <v>300</v>
      </c>
      <c r="D34" s="31">
        <v>500.61</v>
      </c>
      <c r="E34" s="31">
        <v>3982.07</v>
      </c>
      <c r="F34" s="31">
        <f t="shared" si="1"/>
        <v>5309.4266666666672</v>
      </c>
      <c r="G34" s="31">
        <v>0</v>
      </c>
      <c r="H34" s="31">
        <f t="shared" si="3"/>
        <v>0</v>
      </c>
      <c r="I34" s="251"/>
    </row>
    <row r="35" spans="1:9" x14ac:dyDescent="0.25">
      <c r="A35" s="30" t="s">
        <v>2911</v>
      </c>
      <c r="B35" s="30" t="s">
        <v>2912</v>
      </c>
      <c r="C35" s="31">
        <v>68088.639999999999</v>
      </c>
      <c r="D35" s="31">
        <v>12593.43</v>
      </c>
      <c r="E35" s="31">
        <v>26016.42</v>
      </c>
      <c r="F35" s="31">
        <f t="shared" si="1"/>
        <v>34688.559999999998</v>
      </c>
      <c r="G35" s="31">
        <v>10000</v>
      </c>
      <c r="H35" s="31">
        <f>G35*1.079</f>
        <v>10790</v>
      </c>
      <c r="I35" s="251"/>
    </row>
    <row r="36" spans="1:9" x14ac:dyDescent="0.25">
      <c r="A36" s="30" t="s">
        <v>2913</v>
      </c>
      <c r="B36" s="30" t="s">
        <v>2914</v>
      </c>
      <c r="C36" s="31">
        <v>4790</v>
      </c>
      <c r="D36" s="31">
        <v>2850</v>
      </c>
      <c r="E36" s="31">
        <v>4750</v>
      </c>
      <c r="F36" s="31">
        <f t="shared" si="1"/>
        <v>6333.3333333333339</v>
      </c>
      <c r="G36" s="31">
        <v>3500</v>
      </c>
      <c r="H36" s="31">
        <f t="shared" si="3"/>
        <v>3500</v>
      </c>
      <c r="I36" s="251"/>
    </row>
    <row r="37" spans="1:9" x14ac:dyDescent="0.25">
      <c r="A37" s="30" t="s">
        <v>2915</v>
      </c>
      <c r="B37" s="30" t="s">
        <v>2916</v>
      </c>
      <c r="C37" s="31">
        <v>8600</v>
      </c>
      <c r="D37" s="31">
        <v>2440</v>
      </c>
      <c r="E37" s="31">
        <v>4280</v>
      </c>
      <c r="F37" s="31">
        <f t="shared" si="1"/>
        <v>5706.6666666666661</v>
      </c>
      <c r="G37" s="31">
        <v>3500</v>
      </c>
      <c r="H37" s="31">
        <f t="shared" si="3"/>
        <v>3500</v>
      </c>
      <c r="I37" s="251"/>
    </row>
    <row r="38" spans="1:9" x14ac:dyDescent="0.25">
      <c r="A38" s="30" t="s">
        <v>2917</v>
      </c>
      <c r="B38" s="30" t="s">
        <v>2918</v>
      </c>
      <c r="C38" s="31">
        <v>20900</v>
      </c>
      <c r="D38" s="31">
        <v>5800</v>
      </c>
      <c r="E38" s="31">
        <v>10800</v>
      </c>
      <c r="F38" s="31">
        <f t="shared" si="1"/>
        <v>14400</v>
      </c>
      <c r="G38" s="31">
        <v>12000</v>
      </c>
      <c r="H38" s="31">
        <f>G38*1.079</f>
        <v>12948</v>
      </c>
      <c r="I38" s="251"/>
    </row>
    <row r="39" spans="1:9" x14ac:dyDescent="0.25">
      <c r="A39" s="30" t="s">
        <v>2919</v>
      </c>
      <c r="B39" s="30" t="s">
        <v>2920</v>
      </c>
      <c r="C39" s="31">
        <v>22017.8</v>
      </c>
      <c r="D39" s="31">
        <v>7942.2</v>
      </c>
      <c r="E39" s="31">
        <v>13742.2</v>
      </c>
      <c r="F39" s="31">
        <f t="shared" si="1"/>
        <v>18322.933333333334</v>
      </c>
      <c r="G39" s="31">
        <v>10000</v>
      </c>
      <c r="H39" s="31">
        <f t="shared" si="3"/>
        <v>10000</v>
      </c>
      <c r="I39" s="251"/>
    </row>
    <row r="40" spans="1:9" x14ac:dyDescent="0.25">
      <c r="A40" s="30" t="s">
        <v>2921</v>
      </c>
      <c r="B40" s="30" t="s">
        <v>2922</v>
      </c>
      <c r="C40" s="31">
        <v>160</v>
      </c>
      <c r="D40" s="31">
        <v>120</v>
      </c>
      <c r="E40" s="31">
        <v>200</v>
      </c>
      <c r="F40" s="31">
        <f t="shared" si="1"/>
        <v>266.66666666666663</v>
      </c>
      <c r="G40" s="31">
        <v>0</v>
      </c>
      <c r="H40" s="31">
        <f t="shared" si="3"/>
        <v>0</v>
      </c>
      <c r="I40" s="251"/>
    </row>
    <row r="41" spans="1:9" x14ac:dyDescent="0.25">
      <c r="A41" s="30" t="s">
        <v>2923</v>
      </c>
      <c r="B41" s="30" t="s">
        <v>2924</v>
      </c>
      <c r="C41" s="31">
        <v>0</v>
      </c>
      <c r="D41" s="31">
        <v>0</v>
      </c>
      <c r="E41" s="31">
        <v>0</v>
      </c>
      <c r="F41" s="31">
        <f t="shared" si="1"/>
        <v>0</v>
      </c>
      <c r="G41" s="31">
        <v>0</v>
      </c>
      <c r="H41" s="31">
        <f t="shared" si="3"/>
        <v>0</v>
      </c>
      <c r="I41" s="251"/>
    </row>
    <row r="42" spans="1:9" x14ac:dyDescent="0.25">
      <c r="A42" s="30" t="s">
        <v>2925</v>
      </c>
      <c r="B42" s="30" t="s">
        <v>2926</v>
      </c>
      <c r="C42" s="31">
        <v>0</v>
      </c>
      <c r="D42" s="31">
        <v>0</v>
      </c>
      <c r="E42" s="31">
        <v>0</v>
      </c>
      <c r="F42" s="31">
        <f t="shared" si="1"/>
        <v>0</v>
      </c>
      <c r="G42" s="31">
        <v>0</v>
      </c>
      <c r="H42" s="31">
        <f t="shared" si="3"/>
        <v>0</v>
      </c>
      <c r="I42" s="251"/>
    </row>
    <row r="43" spans="1:9" x14ac:dyDescent="0.25">
      <c r="A43" s="30" t="s">
        <v>2927</v>
      </c>
      <c r="B43" s="30" t="s">
        <v>64</v>
      </c>
      <c r="C43" s="31">
        <v>236.69</v>
      </c>
      <c r="D43" s="31">
        <v>0</v>
      </c>
      <c r="E43" s="31">
        <v>0</v>
      </c>
      <c r="F43" s="31">
        <f t="shared" si="1"/>
        <v>0</v>
      </c>
      <c r="G43" s="31">
        <v>0</v>
      </c>
      <c r="H43" s="31">
        <f t="shared" si="3"/>
        <v>0</v>
      </c>
      <c r="I43" s="251"/>
    </row>
    <row r="44" spans="1:9" x14ac:dyDescent="0.25">
      <c r="A44" s="23" t="s">
        <v>2710</v>
      </c>
      <c r="B44" s="23" t="s">
        <v>2</v>
      </c>
      <c r="C44" s="32">
        <v>4930157.33</v>
      </c>
      <c r="D44" s="32">
        <v>2146187.5099999998</v>
      </c>
      <c r="E44" s="32">
        <f>SUM(E25:E43)</f>
        <v>3830696.44</v>
      </c>
      <c r="F44" s="32">
        <f>SUM(F25:F43)</f>
        <v>5107595.2533333339</v>
      </c>
      <c r="G44" s="32">
        <f>SUM(G25:G43)</f>
        <v>4430656</v>
      </c>
      <c r="H44" s="32">
        <f>SUM(H25:H43)</f>
        <v>4670995.1330000004</v>
      </c>
      <c r="I44" s="251"/>
    </row>
    <row r="45" spans="1:9" x14ac:dyDescent="0.25">
      <c r="A45" s="23" t="s">
        <v>2</v>
      </c>
      <c r="B45" s="23" t="s">
        <v>2</v>
      </c>
      <c r="C45" s="23" t="s">
        <v>2</v>
      </c>
      <c r="D45" s="23" t="s">
        <v>2</v>
      </c>
      <c r="E45" s="23"/>
      <c r="F45" s="23"/>
      <c r="G45" s="23" t="s">
        <v>2</v>
      </c>
      <c r="H45" s="23" t="s">
        <v>2</v>
      </c>
      <c r="I45" s="251"/>
    </row>
    <row r="46" spans="1:9" ht="24" x14ac:dyDescent="0.25">
      <c r="A46" s="23" t="s">
        <v>2721</v>
      </c>
      <c r="B46" s="23" t="s">
        <v>2</v>
      </c>
      <c r="C46" s="32">
        <v>4930157.33</v>
      </c>
      <c r="D46" s="32">
        <v>2146187.5099999998</v>
      </c>
      <c r="E46" s="32">
        <f>E44</f>
        <v>3830696.44</v>
      </c>
      <c r="F46" s="32">
        <f>F44</f>
        <v>5107595.2533333339</v>
      </c>
      <c r="G46" s="32">
        <f>G44</f>
        <v>4430656</v>
      </c>
      <c r="H46" s="32">
        <f>H44</f>
        <v>4670995.1330000004</v>
      </c>
      <c r="I46" s="251"/>
    </row>
    <row r="47" spans="1:9" x14ac:dyDescent="0.25">
      <c r="A47" s="23" t="s">
        <v>2</v>
      </c>
      <c r="B47" s="23" t="s">
        <v>2</v>
      </c>
      <c r="C47" s="23" t="s">
        <v>2</v>
      </c>
      <c r="D47" s="23" t="s">
        <v>2</v>
      </c>
      <c r="E47" s="23"/>
      <c r="F47" s="23"/>
      <c r="G47" s="23" t="s">
        <v>2</v>
      </c>
      <c r="H47" s="23" t="s">
        <v>2</v>
      </c>
      <c r="I47" s="251"/>
    </row>
    <row r="48" spans="1:9" x14ac:dyDescent="0.25">
      <c r="A48" s="30" t="s">
        <v>2928</v>
      </c>
      <c r="B48" s="30" t="s">
        <v>2584</v>
      </c>
      <c r="C48" s="31">
        <v>3636.94</v>
      </c>
      <c r="D48" s="31">
        <v>10674.46</v>
      </c>
      <c r="E48" s="31">
        <v>13560.62</v>
      </c>
      <c r="F48" s="31">
        <f t="shared" ref="F48:F51" si="4">E48/9*12</f>
        <v>18080.826666666668</v>
      </c>
      <c r="G48" s="31">
        <v>0</v>
      </c>
      <c r="H48" s="31">
        <v>10000</v>
      </c>
      <c r="I48" s="251"/>
    </row>
    <row r="49" spans="1:9" x14ac:dyDescent="0.25">
      <c r="A49" s="30" t="s">
        <v>2929</v>
      </c>
      <c r="B49" s="30" t="s">
        <v>2930</v>
      </c>
      <c r="C49" s="31">
        <v>594</v>
      </c>
      <c r="D49" s="31">
        <v>486</v>
      </c>
      <c r="E49" s="31">
        <v>801.09</v>
      </c>
      <c r="F49" s="31">
        <f t="shared" si="4"/>
        <v>1068.1200000000001</v>
      </c>
      <c r="G49" s="31">
        <v>0</v>
      </c>
      <c r="H49" s="31">
        <v>750</v>
      </c>
      <c r="I49" s="251"/>
    </row>
    <row r="50" spans="1:9" x14ac:dyDescent="0.25">
      <c r="A50" s="30" t="s">
        <v>2931</v>
      </c>
      <c r="B50" s="30" t="s">
        <v>2932</v>
      </c>
      <c r="C50" s="31">
        <v>0</v>
      </c>
      <c r="D50" s="31">
        <v>0</v>
      </c>
      <c r="E50" s="31">
        <v>0</v>
      </c>
      <c r="F50" s="31">
        <f t="shared" si="4"/>
        <v>0</v>
      </c>
      <c r="G50" s="31">
        <v>0</v>
      </c>
      <c r="H50" s="31">
        <v>0</v>
      </c>
      <c r="I50" s="251"/>
    </row>
    <row r="51" spans="1:9" x14ac:dyDescent="0.25">
      <c r="A51" s="30" t="s">
        <v>2933</v>
      </c>
      <c r="B51" s="30" t="s">
        <v>2934</v>
      </c>
      <c r="C51" s="31">
        <v>0</v>
      </c>
      <c r="D51" s="31">
        <v>1413.57</v>
      </c>
      <c r="E51" s="31">
        <v>10530.92</v>
      </c>
      <c r="F51" s="31">
        <f t="shared" si="4"/>
        <v>14041.226666666667</v>
      </c>
      <c r="G51" s="31">
        <v>0</v>
      </c>
      <c r="H51" s="31">
        <v>0</v>
      </c>
      <c r="I51" s="251"/>
    </row>
    <row r="52" spans="1:9" x14ac:dyDescent="0.25">
      <c r="A52" s="30"/>
      <c r="B52" s="30"/>
      <c r="C52" s="31"/>
      <c r="D52" s="31"/>
      <c r="E52" s="31"/>
      <c r="F52" s="31"/>
      <c r="G52" s="31"/>
      <c r="H52" s="31"/>
      <c r="I52" s="251"/>
    </row>
    <row r="53" spans="1:9" x14ac:dyDescent="0.25">
      <c r="A53" s="23" t="s">
        <v>2175</v>
      </c>
      <c r="B53" s="23" t="s">
        <v>2</v>
      </c>
      <c r="C53" s="29"/>
      <c r="D53" s="29"/>
      <c r="E53" s="29"/>
      <c r="F53" s="29"/>
      <c r="G53" s="29"/>
      <c r="H53" s="29"/>
      <c r="I53" s="251"/>
    </row>
    <row r="54" spans="1:9" x14ac:dyDescent="0.25">
      <c r="A54" s="23" t="s">
        <v>2176</v>
      </c>
      <c r="B54" s="23" t="s">
        <v>2</v>
      </c>
      <c r="C54" s="29"/>
      <c r="D54" s="29"/>
      <c r="E54" s="29"/>
      <c r="F54" s="29"/>
      <c r="G54" s="29"/>
      <c r="H54" s="29"/>
      <c r="I54" s="251"/>
    </row>
    <row r="55" spans="1:9" x14ac:dyDescent="0.25">
      <c r="A55" s="30" t="s">
        <v>2935</v>
      </c>
      <c r="B55" s="30" t="s">
        <v>2409</v>
      </c>
      <c r="C55" s="31">
        <v>2036.3</v>
      </c>
      <c r="D55" s="31">
        <v>1804.67</v>
      </c>
      <c r="E55" s="31">
        <v>7429.48</v>
      </c>
      <c r="F55" s="31">
        <f t="shared" ref="F55:F57" si="5">E55/9*12</f>
        <v>9905.9733333333334</v>
      </c>
      <c r="G55" s="31">
        <v>0</v>
      </c>
      <c r="H55" s="31">
        <v>7000</v>
      </c>
      <c r="I55" s="251"/>
    </row>
    <row r="56" spans="1:9" x14ac:dyDescent="0.25">
      <c r="A56" s="30" t="s">
        <v>2936</v>
      </c>
      <c r="B56" s="30" t="s">
        <v>2703</v>
      </c>
      <c r="C56" s="31">
        <v>0</v>
      </c>
      <c r="D56" s="31">
        <v>0</v>
      </c>
      <c r="E56" s="31">
        <v>0</v>
      </c>
      <c r="F56" s="31">
        <f t="shared" si="5"/>
        <v>0</v>
      </c>
      <c r="G56" s="31">
        <v>0</v>
      </c>
      <c r="H56" s="31">
        <v>0</v>
      </c>
      <c r="I56" s="251"/>
    </row>
    <row r="57" spans="1:9" x14ac:dyDescent="0.25">
      <c r="A57" s="30" t="s">
        <v>2937</v>
      </c>
      <c r="B57" s="30" t="s">
        <v>2938</v>
      </c>
      <c r="C57" s="31">
        <v>3.24</v>
      </c>
      <c r="D57" s="31">
        <v>2.33</v>
      </c>
      <c r="E57" s="31">
        <v>3.56</v>
      </c>
      <c r="F57" s="31">
        <f t="shared" si="5"/>
        <v>4.7466666666666661</v>
      </c>
      <c r="G57" s="31">
        <v>0</v>
      </c>
      <c r="H57" s="31">
        <v>0</v>
      </c>
      <c r="I57" s="251"/>
    </row>
    <row r="58" spans="1:9" ht="24" x14ac:dyDescent="0.25">
      <c r="A58" s="23" t="s">
        <v>2179</v>
      </c>
      <c r="B58" s="23" t="s">
        <v>2</v>
      </c>
      <c r="C58" s="32">
        <v>2039.54</v>
      </c>
      <c r="D58" s="32">
        <v>1807</v>
      </c>
      <c r="E58" s="32">
        <f>SUM(E55:E57)</f>
        <v>7433.04</v>
      </c>
      <c r="F58" s="32">
        <f>SUM(F55:F57)</f>
        <v>9910.7199999999993</v>
      </c>
      <c r="G58" s="32">
        <f>SUM(G55:G57)</f>
        <v>0</v>
      </c>
      <c r="H58" s="32">
        <f>SUM(H55:H57)</f>
        <v>7000</v>
      </c>
      <c r="I58" s="251"/>
    </row>
    <row r="59" spans="1:9" x14ac:dyDescent="0.25">
      <c r="A59" s="23" t="s">
        <v>2</v>
      </c>
      <c r="B59" s="23" t="s">
        <v>2</v>
      </c>
      <c r="C59" s="23" t="s">
        <v>2</v>
      </c>
      <c r="D59" s="23" t="s">
        <v>2</v>
      </c>
      <c r="E59" s="23"/>
      <c r="F59" s="23"/>
      <c r="G59" s="23" t="s">
        <v>2</v>
      </c>
      <c r="H59" s="23" t="s">
        <v>2</v>
      </c>
      <c r="I59" s="251"/>
    </row>
    <row r="60" spans="1:9" ht="24" x14ac:dyDescent="0.25">
      <c r="A60" s="23" t="s">
        <v>2581</v>
      </c>
      <c r="B60" s="23" t="s">
        <v>2</v>
      </c>
      <c r="C60" s="29"/>
      <c r="D60" s="29"/>
      <c r="E60" s="29"/>
      <c r="F60" s="29"/>
      <c r="G60" s="29"/>
      <c r="H60" s="29"/>
      <c r="I60" s="251"/>
    </row>
    <row r="61" spans="1:9" x14ac:dyDescent="0.25">
      <c r="A61" s="30" t="s">
        <v>2939</v>
      </c>
      <c r="B61" s="30" t="s">
        <v>2940</v>
      </c>
      <c r="C61" s="31">
        <v>840.15</v>
      </c>
      <c r="D61" s="31">
        <v>0</v>
      </c>
      <c r="E61" s="31">
        <v>1623.5</v>
      </c>
      <c r="F61" s="31">
        <f t="shared" ref="F61:F63" si="6">E61/9*12</f>
        <v>2164.6666666666665</v>
      </c>
      <c r="G61" s="31">
        <v>0</v>
      </c>
      <c r="H61" s="31">
        <v>0</v>
      </c>
      <c r="I61" s="251"/>
    </row>
    <row r="62" spans="1:9" x14ac:dyDescent="0.25">
      <c r="A62" s="30" t="s">
        <v>2941</v>
      </c>
      <c r="B62" s="30" t="s">
        <v>2942</v>
      </c>
      <c r="C62" s="31">
        <v>0</v>
      </c>
      <c r="D62" s="31">
        <v>0</v>
      </c>
      <c r="E62" s="31">
        <v>0</v>
      </c>
      <c r="F62" s="31">
        <f t="shared" si="6"/>
        <v>0</v>
      </c>
      <c r="G62" s="31">
        <v>0</v>
      </c>
      <c r="H62" s="31">
        <v>0</v>
      </c>
      <c r="I62" s="251"/>
    </row>
    <row r="63" spans="1:9" x14ac:dyDescent="0.25">
      <c r="A63" s="30" t="s">
        <v>2943</v>
      </c>
      <c r="B63" s="30" t="s">
        <v>2944</v>
      </c>
      <c r="C63" s="31">
        <v>0</v>
      </c>
      <c r="D63" s="31">
        <v>0</v>
      </c>
      <c r="E63" s="31">
        <v>0</v>
      </c>
      <c r="F63" s="31">
        <f t="shared" si="6"/>
        <v>0</v>
      </c>
      <c r="G63" s="31">
        <v>0</v>
      </c>
      <c r="H63" s="31">
        <v>0</v>
      </c>
      <c r="I63" s="251"/>
    </row>
    <row r="64" spans="1:9" ht="24" x14ac:dyDescent="0.25">
      <c r="A64" s="23" t="s">
        <v>2585</v>
      </c>
      <c r="B64" s="23" t="s">
        <v>2</v>
      </c>
      <c r="C64" s="32">
        <v>840.15</v>
      </c>
      <c r="D64" s="32">
        <v>0</v>
      </c>
      <c r="E64" s="32">
        <f>SUM(E61:E63)</f>
        <v>1623.5</v>
      </c>
      <c r="F64" s="32">
        <f>SUM(F61:F63)</f>
        <v>2164.6666666666665</v>
      </c>
      <c r="G64" s="32">
        <f>SUM(G61:G63)</f>
        <v>0</v>
      </c>
      <c r="H64" s="32">
        <f>SUM(H61:H63)</f>
        <v>0</v>
      </c>
      <c r="I64" s="251"/>
    </row>
    <row r="65" spans="1:9" x14ac:dyDescent="0.25">
      <c r="A65" s="23" t="s">
        <v>2</v>
      </c>
      <c r="B65" s="23" t="s">
        <v>2</v>
      </c>
      <c r="C65" s="23" t="s">
        <v>2</v>
      </c>
      <c r="D65" s="23" t="s">
        <v>2</v>
      </c>
      <c r="E65" s="23"/>
      <c r="F65" s="23"/>
      <c r="G65" s="23" t="s">
        <v>2</v>
      </c>
      <c r="H65" s="23" t="s">
        <v>2</v>
      </c>
      <c r="I65" s="251"/>
    </row>
    <row r="66" spans="1:9" ht="24" x14ac:dyDescent="0.25">
      <c r="A66" s="23" t="s">
        <v>2180</v>
      </c>
      <c r="B66" s="23" t="s">
        <v>2</v>
      </c>
      <c r="C66" s="32">
        <v>2879.69</v>
      </c>
      <c r="D66" s="32">
        <v>1807</v>
      </c>
      <c r="E66" s="32">
        <f>E58+E64</f>
        <v>9056.5400000000009</v>
      </c>
      <c r="F66" s="32">
        <f>F58+F64</f>
        <v>12075.386666666665</v>
      </c>
      <c r="G66" s="32">
        <f>G64+G58</f>
        <v>0</v>
      </c>
      <c r="H66" s="32">
        <f>H64+H58</f>
        <v>7000</v>
      </c>
      <c r="I66" s="251"/>
    </row>
    <row r="67" spans="1:9" x14ac:dyDescent="0.25">
      <c r="A67" s="23" t="s">
        <v>2</v>
      </c>
      <c r="B67" s="23" t="s">
        <v>2</v>
      </c>
      <c r="C67" s="23" t="s">
        <v>2</v>
      </c>
      <c r="D67" s="23" t="s">
        <v>2</v>
      </c>
      <c r="E67" s="23"/>
      <c r="F67" s="23"/>
      <c r="G67" s="23" t="s">
        <v>2</v>
      </c>
      <c r="H67" s="23" t="s">
        <v>2</v>
      </c>
      <c r="I67" s="251"/>
    </row>
    <row r="68" spans="1:9" x14ac:dyDescent="0.25">
      <c r="A68" s="23" t="s">
        <v>2945</v>
      </c>
      <c r="B68" s="23" t="s">
        <v>2</v>
      </c>
      <c r="C68" s="29"/>
      <c r="D68" s="29"/>
      <c r="E68" s="29"/>
      <c r="F68" s="29"/>
      <c r="G68" s="29"/>
      <c r="H68" s="29"/>
      <c r="I68" s="251"/>
    </row>
    <row r="69" spans="1:9" x14ac:dyDescent="0.25">
      <c r="A69" s="23" t="s">
        <v>2532</v>
      </c>
      <c r="B69" s="23" t="s">
        <v>2</v>
      </c>
      <c r="C69" s="29"/>
      <c r="D69" s="29"/>
      <c r="E69" s="29"/>
      <c r="F69" s="29"/>
      <c r="G69" s="29"/>
      <c r="H69" s="29"/>
      <c r="I69" s="251"/>
    </row>
    <row r="70" spans="1:9" x14ac:dyDescent="0.25">
      <c r="A70" s="30" t="s">
        <v>2946</v>
      </c>
      <c r="B70" s="30" t="s">
        <v>2947</v>
      </c>
      <c r="C70" s="31">
        <v>0</v>
      </c>
      <c r="D70" s="31">
        <v>0</v>
      </c>
      <c r="E70" s="31">
        <v>0</v>
      </c>
      <c r="F70" s="31">
        <f>E70/9*12</f>
        <v>0</v>
      </c>
      <c r="G70" s="31">
        <v>0</v>
      </c>
      <c r="H70" s="31">
        <v>0</v>
      </c>
      <c r="I70" s="251"/>
    </row>
    <row r="71" spans="1:9" ht="24" x14ac:dyDescent="0.25">
      <c r="A71" s="23" t="s">
        <v>2537</v>
      </c>
      <c r="B71" s="23" t="s">
        <v>2</v>
      </c>
      <c r="C71" s="32">
        <v>0</v>
      </c>
      <c r="D71" s="32">
        <v>0</v>
      </c>
      <c r="E71" s="32">
        <f>E70</f>
        <v>0</v>
      </c>
      <c r="F71" s="32">
        <f>F70</f>
        <v>0</v>
      </c>
      <c r="G71" s="32">
        <f>SUM(G70)</f>
        <v>0</v>
      </c>
      <c r="H71" s="32">
        <f>SUM(H70)</f>
        <v>0</v>
      </c>
      <c r="I71" s="251"/>
    </row>
    <row r="72" spans="1:9" x14ac:dyDescent="0.25">
      <c r="A72" s="23" t="s">
        <v>2</v>
      </c>
      <c r="B72" s="23" t="s">
        <v>2</v>
      </c>
      <c r="C72" s="23" t="s">
        <v>2</v>
      </c>
      <c r="D72" s="23" t="s">
        <v>2</v>
      </c>
      <c r="E72" s="23"/>
      <c r="F72" s="23"/>
      <c r="G72" s="23" t="s">
        <v>2</v>
      </c>
      <c r="H72" s="23" t="s">
        <v>2</v>
      </c>
      <c r="I72" s="251"/>
    </row>
    <row r="73" spans="1:9" ht="27.75" customHeight="1" x14ac:dyDescent="0.25">
      <c r="A73" s="23" t="s">
        <v>2948</v>
      </c>
      <c r="B73" s="23" t="s">
        <v>2</v>
      </c>
      <c r="C73" s="29"/>
      <c r="D73" s="29"/>
      <c r="E73" s="29"/>
      <c r="F73" s="29"/>
      <c r="G73" s="29"/>
      <c r="H73" s="29"/>
      <c r="I73" s="251"/>
    </row>
    <row r="74" spans="1:9" x14ac:dyDescent="0.25">
      <c r="A74" s="30" t="s">
        <v>2949</v>
      </c>
      <c r="B74" s="30" t="s">
        <v>2539</v>
      </c>
      <c r="C74" s="31">
        <v>0</v>
      </c>
      <c r="D74" s="31">
        <v>0</v>
      </c>
      <c r="E74" s="31">
        <v>0</v>
      </c>
      <c r="F74" s="31">
        <f>E74/9*12</f>
        <v>0</v>
      </c>
      <c r="G74" s="31">
        <v>0</v>
      </c>
      <c r="H74" s="31">
        <v>0</v>
      </c>
      <c r="I74" s="251"/>
    </row>
    <row r="75" spans="1:9" ht="24.75" customHeight="1" x14ac:dyDescent="0.25">
      <c r="A75" s="23" t="s">
        <v>2950</v>
      </c>
      <c r="B75" s="23" t="s">
        <v>2</v>
      </c>
      <c r="C75" s="32">
        <v>0</v>
      </c>
      <c r="D75" s="32">
        <v>0</v>
      </c>
      <c r="E75" s="32">
        <f>E74</f>
        <v>0</v>
      </c>
      <c r="F75" s="32">
        <f>F74</f>
        <v>0</v>
      </c>
      <c r="G75" s="32">
        <f>SUM(G74)</f>
        <v>0</v>
      </c>
      <c r="H75" s="32">
        <f>SUM(H74)</f>
        <v>0</v>
      </c>
      <c r="I75" s="251"/>
    </row>
    <row r="76" spans="1:9" x14ac:dyDescent="0.25">
      <c r="A76" s="30"/>
      <c r="B76" s="30"/>
      <c r="C76" s="31"/>
      <c r="D76" s="31"/>
      <c r="E76" s="31"/>
      <c r="F76" s="31"/>
      <c r="G76" s="31"/>
      <c r="H76" s="31"/>
      <c r="I76" s="251"/>
    </row>
    <row r="77" spans="1:9" x14ac:dyDescent="0.25">
      <c r="A77" s="23" t="s">
        <v>2951</v>
      </c>
      <c r="B77" s="23" t="s">
        <v>2</v>
      </c>
      <c r="C77" s="32">
        <v>0</v>
      </c>
      <c r="D77" s="32">
        <v>0</v>
      </c>
      <c r="E77" s="32">
        <f>E75+E71</f>
        <v>0</v>
      </c>
      <c r="F77" s="32">
        <f>F75+F71</f>
        <v>0</v>
      </c>
      <c r="G77" s="32">
        <f>G75+G71</f>
        <v>0</v>
      </c>
      <c r="H77" s="32">
        <f>H75+H71</f>
        <v>0</v>
      </c>
      <c r="I77" s="251"/>
    </row>
    <row r="78" spans="1:9" x14ac:dyDescent="0.25">
      <c r="A78" s="23" t="s">
        <v>2</v>
      </c>
      <c r="B78" s="23" t="s">
        <v>2</v>
      </c>
      <c r="C78" s="23" t="s">
        <v>2</v>
      </c>
      <c r="D78" s="23" t="s">
        <v>2</v>
      </c>
      <c r="E78" s="23"/>
      <c r="F78" s="23"/>
      <c r="G78" s="23" t="s">
        <v>2</v>
      </c>
      <c r="H78" s="23" t="s">
        <v>2</v>
      </c>
      <c r="I78" s="251"/>
    </row>
    <row r="79" spans="1:9" x14ac:dyDescent="0.25">
      <c r="A79" s="23" t="s">
        <v>2553</v>
      </c>
      <c r="B79" s="23" t="s">
        <v>2</v>
      </c>
      <c r="C79" s="29"/>
      <c r="D79" s="29"/>
      <c r="E79" s="29"/>
      <c r="F79" s="29"/>
      <c r="G79" s="29"/>
      <c r="H79" s="29"/>
      <c r="I79" s="251"/>
    </row>
    <row r="80" spans="1:9" x14ac:dyDescent="0.25">
      <c r="A80" s="30" t="s">
        <v>2952</v>
      </c>
      <c r="B80" s="30" t="s">
        <v>2953</v>
      </c>
      <c r="C80" s="31">
        <v>0</v>
      </c>
      <c r="D80" s="31">
        <v>0</v>
      </c>
      <c r="E80" s="31">
        <v>0</v>
      </c>
      <c r="F80" s="31">
        <f t="shared" ref="F80:F84" si="7">E80/9*12</f>
        <v>0</v>
      </c>
      <c r="G80" s="31">
        <v>0</v>
      </c>
      <c r="H80" s="31">
        <v>0</v>
      </c>
      <c r="I80" s="251"/>
    </row>
    <row r="81" spans="1:9" x14ac:dyDescent="0.25">
      <c r="A81" s="30" t="s">
        <v>2954</v>
      </c>
      <c r="B81" s="30" t="s">
        <v>2955</v>
      </c>
      <c r="C81" s="31">
        <v>0</v>
      </c>
      <c r="D81" s="31">
        <v>0</v>
      </c>
      <c r="E81" s="31">
        <v>0</v>
      </c>
      <c r="F81" s="31">
        <f t="shared" si="7"/>
        <v>0</v>
      </c>
      <c r="G81" s="31">
        <v>0</v>
      </c>
      <c r="H81" s="31">
        <v>0</v>
      </c>
      <c r="I81" s="251"/>
    </row>
    <row r="82" spans="1:9" x14ac:dyDescent="0.25">
      <c r="A82" s="30" t="s">
        <v>2956</v>
      </c>
      <c r="B82" s="30" t="s">
        <v>2957</v>
      </c>
      <c r="C82" s="31">
        <v>0</v>
      </c>
      <c r="D82" s="31">
        <v>0</v>
      </c>
      <c r="E82" s="31">
        <v>0</v>
      </c>
      <c r="F82" s="31">
        <f t="shared" si="7"/>
        <v>0</v>
      </c>
      <c r="G82" s="31">
        <v>0</v>
      </c>
      <c r="H82" s="31">
        <v>0</v>
      </c>
      <c r="I82" s="251"/>
    </row>
    <row r="83" spans="1:9" x14ac:dyDescent="0.25">
      <c r="A83" s="30" t="s">
        <v>2958</v>
      </c>
      <c r="B83" s="30" t="s">
        <v>2959</v>
      </c>
      <c r="C83" s="31">
        <v>0</v>
      </c>
      <c r="D83" s="31">
        <v>0</v>
      </c>
      <c r="E83" s="31">
        <v>0</v>
      </c>
      <c r="F83" s="31">
        <f t="shared" si="7"/>
        <v>0</v>
      </c>
      <c r="G83" s="31">
        <v>0</v>
      </c>
      <c r="H83" s="31">
        <v>0</v>
      </c>
      <c r="I83" s="251"/>
    </row>
    <row r="84" spans="1:9" x14ac:dyDescent="0.25">
      <c r="A84" s="30" t="s">
        <v>2960</v>
      </c>
      <c r="B84" s="30" t="s">
        <v>2961</v>
      </c>
      <c r="C84" s="31">
        <v>0</v>
      </c>
      <c r="D84" s="31">
        <v>0</v>
      </c>
      <c r="E84" s="31">
        <v>0</v>
      </c>
      <c r="F84" s="31">
        <f t="shared" si="7"/>
        <v>0</v>
      </c>
      <c r="G84" s="31">
        <v>0</v>
      </c>
      <c r="H84" s="31">
        <v>0</v>
      </c>
      <c r="I84" s="251"/>
    </row>
    <row r="85" spans="1:9" x14ac:dyDescent="0.25">
      <c r="A85" s="109" t="s">
        <v>2962</v>
      </c>
      <c r="B85" s="109" t="s">
        <v>2963</v>
      </c>
      <c r="C85" s="110">
        <v>270</v>
      </c>
      <c r="D85" s="110">
        <v>0</v>
      </c>
      <c r="E85" s="110">
        <v>0</v>
      </c>
      <c r="F85" s="110">
        <v>625000</v>
      </c>
      <c r="G85" s="110">
        <v>625000</v>
      </c>
      <c r="H85" s="110">
        <f>Transfers!$C$58</f>
        <v>0</v>
      </c>
      <c r="I85" s="253"/>
    </row>
    <row r="86" spans="1:9" x14ac:dyDescent="0.25">
      <c r="A86" s="109" t="s">
        <v>2964</v>
      </c>
      <c r="B86" s="109" t="s">
        <v>2965</v>
      </c>
      <c r="C86" s="110">
        <v>0</v>
      </c>
      <c r="D86" s="110">
        <v>0</v>
      </c>
      <c r="E86" s="110">
        <v>0</v>
      </c>
      <c r="F86" s="110">
        <v>0</v>
      </c>
      <c r="G86" s="110">
        <v>0</v>
      </c>
      <c r="H86" s="110">
        <f>Transfers!$C$59</f>
        <v>0</v>
      </c>
      <c r="I86" s="253"/>
    </row>
    <row r="87" spans="1:9" ht="24" x14ac:dyDescent="0.25">
      <c r="A87" s="23" t="s">
        <v>2556</v>
      </c>
      <c r="B87" s="23" t="s">
        <v>2</v>
      </c>
      <c r="C87" s="32">
        <v>270</v>
      </c>
      <c r="D87" s="32">
        <v>0</v>
      </c>
      <c r="E87" s="32">
        <f>SUM(E80:E86)</f>
        <v>0</v>
      </c>
      <c r="F87" s="32">
        <f>SUM(F80:F86)</f>
        <v>625000</v>
      </c>
      <c r="G87" s="32">
        <f>SUM(G80:G86)</f>
        <v>625000</v>
      </c>
      <c r="H87" s="32">
        <f>SUM(H80:H86)</f>
        <v>0</v>
      </c>
      <c r="I87" s="251"/>
    </row>
    <row r="88" spans="1:9" x14ac:dyDescent="0.25">
      <c r="A88" s="23" t="s">
        <v>2</v>
      </c>
      <c r="B88" s="23" t="s">
        <v>2</v>
      </c>
      <c r="C88" s="23" t="s">
        <v>2</v>
      </c>
      <c r="D88" s="23" t="s">
        <v>2</v>
      </c>
      <c r="E88" s="23"/>
      <c r="F88" s="23"/>
      <c r="G88" s="23" t="s">
        <v>2</v>
      </c>
      <c r="H88" s="23" t="s">
        <v>2</v>
      </c>
      <c r="I88" s="251"/>
    </row>
    <row r="89" spans="1:9" x14ac:dyDescent="0.25">
      <c r="A89" s="30" t="s">
        <v>2966</v>
      </c>
      <c r="B89" s="30" t="s">
        <v>64</v>
      </c>
      <c r="C89" s="31">
        <v>0</v>
      </c>
      <c r="D89" s="31">
        <v>0</v>
      </c>
      <c r="E89" s="31">
        <v>0</v>
      </c>
      <c r="F89" s="31">
        <f t="shared" ref="F89" si="8">E89/9*12</f>
        <v>0</v>
      </c>
      <c r="G89" s="31">
        <v>0</v>
      </c>
      <c r="H89" s="31">
        <v>0</v>
      </c>
      <c r="I89" s="251"/>
    </row>
    <row r="90" spans="1:9" x14ac:dyDescent="0.25">
      <c r="A90" s="30" t="s">
        <v>2</v>
      </c>
      <c r="B90" s="30" t="s">
        <v>2</v>
      </c>
      <c r="C90" s="30" t="s">
        <v>2</v>
      </c>
      <c r="D90" s="30" t="s">
        <v>2</v>
      </c>
      <c r="E90" s="30"/>
      <c r="F90" s="30"/>
      <c r="G90" s="30" t="s">
        <v>2</v>
      </c>
      <c r="H90" s="30" t="s">
        <v>2</v>
      </c>
      <c r="I90" s="251"/>
    </row>
    <row r="91" spans="1:9" x14ac:dyDescent="0.25">
      <c r="A91" s="23" t="s">
        <v>1466</v>
      </c>
      <c r="B91" s="23" t="s">
        <v>2</v>
      </c>
      <c r="C91" s="32">
        <v>4945048.68</v>
      </c>
      <c r="D91" s="32">
        <v>2167480.54</v>
      </c>
      <c r="E91" s="32">
        <f>E12+E21+E46+E48+E49+E50+E51+E66+E71+E75+E77+E87+E89</f>
        <v>3871557.61</v>
      </c>
      <c r="F91" s="32">
        <f>F12+F21+F46+F48+F49+F50+F51+F66+F71+F75+F77+F87+F89</f>
        <v>5787076.8133333344</v>
      </c>
      <c r="G91" s="32">
        <f>G89+G87+G77+G66+SUM(G48:G51)+G46+G21+G12</f>
        <v>5062568</v>
      </c>
      <c r="H91" s="32">
        <f>H89+H87+H77+H66+SUM(H48:H51)+H46+H21+H12</f>
        <v>5795657.1330000004</v>
      </c>
      <c r="I91" s="251"/>
    </row>
    <row r="92" spans="1:9" x14ac:dyDescent="0.25">
      <c r="A92" s="1" t="s">
        <v>740</v>
      </c>
      <c r="B92" s="1"/>
      <c r="C92" s="4"/>
      <c r="D92" s="4"/>
      <c r="E92" s="4"/>
      <c r="F92" s="4"/>
      <c r="G92" s="4"/>
      <c r="H92" s="4"/>
    </row>
    <row r="93" spans="1:9" x14ac:dyDescent="0.25">
      <c r="A93" s="1" t="s">
        <v>1267</v>
      </c>
      <c r="B93" s="1" t="s">
        <v>2</v>
      </c>
    </row>
    <row r="94" spans="1:9" ht="15" customHeight="1" x14ac:dyDescent="0.25">
      <c r="A94" s="1" t="s">
        <v>1268</v>
      </c>
      <c r="B94" s="1" t="s">
        <v>2</v>
      </c>
    </row>
    <row r="95" spans="1:9" ht="15" customHeight="1" x14ac:dyDescent="0.25">
      <c r="A95" s="2" t="s">
        <v>1269</v>
      </c>
      <c r="B95" s="2" t="s">
        <v>108</v>
      </c>
      <c r="C95" s="3">
        <v>40930.51</v>
      </c>
      <c r="D95" s="3">
        <v>19302.03</v>
      </c>
      <c r="E95" s="3">
        <v>33496.730000000003</v>
      </c>
      <c r="F95" s="3">
        <f>E95/9*12</f>
        <v>44662.306666666671</v>
      </c>
      <c r="G95" s="3">
        <v>52447.51</v>
      </c>
      <c r="H95" s="302">
        <v>47524.62</v>
      </c>
    </row>
    <row r="96" spans="1:9" ht="15" customHeight="1" x14ac:dyDescent="0.25">
      <c r="A96" s="2" t="s">
        <v>1270</v>
      </c>
      <c r="B96" s="2" t="s">
        <v>652</v>
      </c>
      <c r="C96" s="3">
        <v>80131.490000000005</v>
      </c>
      <c r="D96" s="3">
        <v>35967.65</v>
      </c>
      <c r="E96" s="3">
        <v>67924.33</v>
      </c>
      <c r="F96" s="3">
        <f t="shared" ref="F96:F122" si="9">E96/9*12</f>
        <v>90565.773333333345</v>
      </c>
      <c r="G96" s="3">
        <v>108004.93</v>
      </c>
      <c r="H96" s="302">
        <v>98041.74</v>
      </c>
    </row>
    <row r="97" spans="1:8" ht="15" customHeight="1" x14ac:dyDescent="0.25">
      <c r="A97" s="2" t="s">
        <v>1271</v>
      </c>
      <c r="B97" s="2" t="s">
        <v>29</v>
      </c>
      <c r="C97" s="3">
        <v>32920.6</v>
      </c>
      <c r="D97" s="3">
        <v>16782.88</v>
      </c>
      <c r="E97" s="3">
        <v>29782.799999999999</v>
      </c>
      <c r="F97" s="3">
        <f t="shared" si="9"/>
        <v>39710.399999999994</v>
      </c>
      <c r="G97" s="3">
        <v>46449.4</v>
      </c>
      <c r="H97" s="302">
        <v>40959.74</v>
      </c>
    </row>
    <row r="98" spans="1:8" ht="15" customHeight="1" x14ac:dyDescent="0.25">
      <c r="A98" s="2" t="s">
        <v>1272</v>
      </c>
      <c r="B98" s="2" t="s">
        <v>128</v>
      </c>
      <c r="C98" s="3">
        <v>1087.3499999999999</v>
      </c>
      <c r="D98" s="3">
        <v>385.98</v>
      </c>
      <c r="E98" s="3">
        <v>714.62</v>
      </c>
      <c r="F98" s="3">
        <f t="shared" si="9"/>
        <v>952.8266666666666</v>
      </c>
      <c r="G98" s="3">
        <v>1501.93</v>
      </c>
      <c r="H98" s="302">
        <v>1153.18</v>
      </c>
    </row>
    <row r="99" spans="1:8" ht="15" customHeight="1" x14ac:dyDescent="0.25">
      <c r="A99" s="2" t="s">
        <v>1273</v>
      </c>
      <c r="B99" s="2" t="s">
        <v>33</v>
      </c>
      <c r="C99" s="3">
        <v>16333.6</v>
      </c>
      <c r="D99" s="3">
        <v>6656.79</v>
      </c>
      <c r="E99" s="3">
        <v>12165.59</v>
      </c>
      <c r="F99" s="3">
        <f t="shared" si="9"/>
        <v>16220.786666666667</v>
      </c>
      <c r="G99" s="3">
        <v>19152.05</v>
      </c>
      <c r="H99" s="302">
        <v>15124.35</v>
      </c>
    </row>
    <row r="100" spans="1:8" ht="15" customHeight="1" x14ac:dyDescent="0.25">
      <c r="A100" s="2" t="s">
        <v>1274</v>
      </c>
      <c r="B100" s="2" t="s">
        <v>11</v>
      </c>
      <c r="C100" s="3">
        <v>9122.67</v>
      </c>
      <c r="D100" s="3">
        <v>4163.29</v>
      </c>
      <c r="E100" s="3">
        <v>7639.03</v>
      </c>
      <c r="F100" s="3">
        <f t="shared" si="9"/>
        <v>10185.373333333333</v>
      </c>
      <c r="G100" s="3">
        <v>12274.61</v>
      </c>
      <c r="H100" s="302">
        <v>11135.83</v>
      </c>
    </row>
    <row r="101" spans="1:8" ht="15" customHeight="1" x14ac:dyDescent="0.25">
      <c r="A101" s="2" t="s">
        <v>1275</v>
      </c>
      <c r="B101" s="2" t="s">
        <v>13</v>
      </c>
      <c r="C101" s="3">
        <v>178.04</v>
      </c>
      <c r="D101" s="3">
        <v>117.16</v>
      </c>
      <c r="E101" s="3">
        <v>215.23</v>
      </c>
      <c r="F101" s="3">
        <f t="shared" si="9"/>
        <v>286.9733333333333</v>
      </c>
      <c r="G101" s="3">
        <v>235.87</v>
      </c>
      <c r="H101" s="302">
        <v>324.18</v>
      </c>
    </row>
    <row r="102" spans="1:8" ht="15" customHeight="1" x14ac:dyDescent="0.25">
      <c r="A102" s="2" t="s">
        <v>1276</v>
      </c>
      <c r="B102" s="2" t="s">
        <v>286</v>
      </c>
      <c r="C102" s="3">
        <v>67</v>
      </c>
      <c r="D102" s="3">
        <v>0</v>
      </c>
      <c r="E102" s="3">
        <v>0</v>
      </c>
      <c r="F102" s="3">
        <f t="shared" si="9"/>
        <v>0</v>
      </c>
      <c r="G102" s="3">
        <v>129.25</v>
      </c>
      <c r="H102" s="302">
        <v>90.05</v>
      </c>
    </row>
    <row r="103" spans="1:8" ht="15" customHeight="1" x14ac:dyDescent="0.25">
      <c r="A103" s="2" t="s">
        <v>1277</v>
      </c>
      <c r="B103" s="2" t="s">
        <v>1278</v>
      </c>
      <c r="C103" s="3">
        <v>0</v>
      </c>
      <c r="D103" s="3">
        <v>0</v>
      </c>
      <c r="E103" s="3">
        <v>0</v>
      </c>
      <c r="F103" s="3">
        <f t="shared" si="9"/>
        <v>0</v>
      </c>
      <c r="G103" s="3">
        <v>2500</v>
      </c>
      <c r="H103" s="5">
        <v>2500</v>
      </c>
    </row>
    <row r="104" spans="1:8" ht="15" customHeight="1" x14ac:dyDescent="0.25">
      <c r="A104" s="2" t="s">
        <v>1279</v>
      </c>
      <c r="B104" s="2" t="s">
        <v>37</v>
      </c>
      <c r="C104" s="3">
        <v>497.37</v>
      </c>
      <c r="D104" s="3">
        <v>159.55000000000001</v>
      </c>
      <c r="E104" s="3">
        <v>629.52</v>
      </c>
      <c r="F104" s="3">
        <f t="shared" si="9"/>
        <v>839.3599999999999</v>
      </c>
      <c r="G104" s="3">
        <v>500</v>
      </c>
      <c r="H104" s="5">
        <v>500</v>
      </c>
    </row>
    <row r="105" spans="1:8" ht="15" customHeight="1" x14ac:dyDescent="0.25">
      <c r="A105" s="2" t="s">
        <v>1280</v>
      </c>
      <c r="B105" s="2" t="s">
        <v>39</v>
      </c>
      <c r="C105" s="3">
        <v>0</v>
      </c>
      <c r="D105" s="3">
        <v>0</v>
      </c>
      <c r="E105" s="3">
        <v>0</v>
      </c>
      <c r="F105" s="3">
        <f t="shared" si="9"/>
        <v>0</v>
      </c>
      <c r="G105" s="3">
        <v>500</v>
      </c>
      <c r="H105" s="5">
        <v>500</v>
      </c>
    </row>
    <row r="106" spans="1:8" ht="15" customHeight="1" x14ac:dyDescent="0.25">
      <c r="A106" s="2" t="s">
        <v>1281</v>
      </c>
      <c r="B106" s="2" t="s">
        <v>907</v>
      </c>
      <c r="C106" s="3">
        <v>138125.85999999999</v>
      </c>
      <c r="D106" s="3">
        <v>119010.61</v>
      </c>
      <c r="E106" s="3">
        <v>119010.61</v>
      </c>
      <c r="F106" s="3">
        <f t="shared" si="9"/>
        <v>158680.81333333332</v>
      </c>
      <c r="G106" s="3">
        <v>119010.61</v>
      </c>
      <c r="H106" s="5">
        <f>'Central Services'!$C$6</f>
        <v>138000</v>
      </c>
    </row>
    <row r="107" spans="1:8" ht="15" customHeight="1" x14ac:dyDescent="0.25">
      <c r="A107" s="2" t="s">
        <v>1282</v>
      </c>
      <c r="B107" s="2" t="s">
        <v>1283</v>
      </c>
      <c r="C107" s="3">
        <v>77322.259999999995</v>
      </c>
      <c r="D107" s="3">
        <v>49046.03</v>
      </c>
      <c r="E107" s="3">
        <v>49046.03</v>
      </c>
      <c r="F107" s="3">
        <f t="shared" si="9"/>
        <v>65394.706666666665</v>
      </c>
      <c r="G107" s="3">
        <v>49046.03</v>
      </c>
      <c r="H107" s="5">
        <f>Equipment!$C$17</f>
        <v>77322.258651801792</v>
      </c>
    </row>
    <row r="108" spans="1:8" x14ac:dyDescent="0.25">
      <c r="A108" s="2" t="s">
        <v>1284</v>
      </c>
      <c r="B108" s="2" t="s">
        <v>15</v>
      </c>
      <c r="C108" s="3">
        <v>28399.33</v>
      </c>
      <c r="D108" s="3">
        <v>8693.16</v>
      </c>
      <c r="E108" s="3">
        <v>8693.16</v>
      </c>
      <c r="F108" s="3">
        <f t="shared" si="9"/>
        <v>11590.88</v>
      </c>
      <c r="G108" s="3">
        <v>8693.16</v>
      </c>
      <c r="H108" s="5">
        <f>'Computer '!$D$19</f>
        <v>28399.325909671101</v>
      </c>
    </row>
    <row r="109" spans="1:8" x14ac:dyDescent="0.25">
      <c r="A109" s="2" t="s">
        <v>1285</v>
      </c>
      <c r="B109" s="2" t="s">
        <v>1286</v>
      </c>
      <c r="C109" s="3">
        <v>1862.84</v>
      </c>
      <c r="D109" s="3">
        <v>8459.43</v>
      </c>
      <c r="E109" s="3">
        <v>10922.79</v>
      </c>
      <c r="F109" s="3">
        <f t="shared" si="9"/>
        <v>14563.720000000001</v>
      </c>
      <c r="G109" s="3">
        <v>50000</v>
      </c>
      <c r="H109" s="5">
        <v>50000</v>
      </c>
    </row>
    <row r="110" spans="1:8" ht="15" customHeight="1" x14ac:dyDescent="0.25">
      <c r="A110" s="2" t="s">
        <v>1287</v>
      </c>
      <c r="B110" s="2" t="s">
        <v>1288</v>
      </c>
      <c r="C110" s="3">
        <v>0</v>
      </c>
      <c r="D110" s="3">
        <v>0</v>
      </c>
      <c r="E110" s="3">
        <v>0</v>
      </c>
      <c r="F110" s="3">
        <f t="shared" si="9"/>
        <v>0</v>
      </c>
      <c r="G110" s="3">
        <v>0</v>
      </c>
      <c r="H110" s="5">
        <v>0</v>
      </c>
    </row>
    <row r="111" spans="1:8" x14ac:dyDescent="0.25">
      <c r="A111" s="2" t="s">
        <v>1289</v>
      </c>
      <c r="B111" s="2" t="s">
        <v>1290</v>
      </c>
      <c r="C111" s="3">
        <v>34098.03</v>
      </c>
      <c r="D111" s="3">
        <v>14048.08</v>
      </c>
      <c r="E111" s="3">
        <v>26782.54</v>
      </c>
      <c r="F111" s="3">
        <f t="shared" si="9"/>
        <v>35710.05333333333</v>
      </c>
      <c r="G111" s="3">
        <v>25000</v>
      </c>
      <c r="H111" s="5">
        <v>40000</v>
      </c>
    </row>
    <row r="112" spans="1:8" ht="15" customHeight="1" x14ac:dyDescent="0.25">
      <c r="A112" s="2" t="s">
        <v>1291</v>
      </c>
      <c r="B112" s="2" t="s">
        <v>59</v>
      </c>
      <c r="C112" s="3">
        <v>226.55</v>
      </c>
      <c r="D112" s="3">
        <v>292.99</v>
      </c>
      <c r="E112" s="3">
        <v>456.03</v>
      </c>
      <c r="F112" s="3">
        <f t="shared" si="9"/>
        <v>608.04</v>
      </c>
      <c r="G112" s="3">
        <v>3000</v>
      </c>
      <c r="H112" s="5">
        <v>1000</v>
      </c>
    </row>
    <row r="113" spans="1:8" ht="15" customHeight="1" x14ac:dyDescent="0.25">
      <c r="A113" s="2" t="s">
        <v>1292</v>
      </c>
      <c r="B113" s="2" t="s">
        <v>99</v>
      </c>
      <c r="C113" s="3">
        <v>8693.58</v>
      </c>
      <c r="D113" s="3">
        <v>2687.67</v>
      </c>
      <c r="E113" s="3">
        <v>5173.12</v>
      </c>
      <c r="F113" s="3">
        <f t="shared" si="9"/>
        <v>6897.4933333333338</v>
      </c>
      <c r="G113" s="3">
        <v>6200</v>
      </c>
      <c r="H113" s="5">
        <f>Phone!$C$17</f>
        <v>9000</v>
      </c>
    </row>
    <row r="114" spans="1:8" ht="15" customHeight="1" x14ac:dyDescent="0.25">
      <c r="A114" s="2" t="s">
        <v>1293</v>
      </c>
      <c r="B114" s="2" t="s">
        <v>17</v>
      </c>
      <c r="C114" s="3">
        <v>0</v>
      </c>
      <c r="D114" s="3">
        <v>0</v>
      </c>
      <c r="E114" s="3">
        <v>0</v>
      </c>
      <c r="F114" s="3">
        <f t="shared" si="9"/>
        <v>0</v>
      </c>
      <c r="G114" s="3">
        <v>500</v>
      </c>
      <c r="H114" s="5">
        <v>500</v>
      </c>
    </row>
    <row r="115" spans="1:8" ht="15" customHeight="1" x14ac:dyDescent="0.25">
      <c r="A115" s="2" t="s">
        <v>1294</v>
      </c>
      <c r="B115" s="2" t="s">
        <v>1295</v>
      </c>
      <c r="C115" s="3">
        <v>0</v>
      </c>
      <c r="D115" s="3">
        <v>0</v>
      </c>
      <c r="E115" s="3">
        <v>0</v>
      </c>
      <c r="F115" s="3">
        <f t="shared" si="9"/>
        <v>0</v>
      </c>
      <c r="G115" s="3">
        <v>250</v>
      </c>
      <c r="H115" s="5">
        <v>0</v>
      </c>
    </row>
    <row r="116" spans="1:8" ht="15" customHeight="1" x14ac:dyDescent="0.25">
      <c r="A116" s="2" t="s">
        <v>1296</v>
      </c>
      <c r="B116" s="2" t="s">
        <v>917</v>
      </c>
      <c r="C116" s="3">
        <v>1476.96</v>
      </c>
      <c r="D116" s="3">
        <v>615.75</v>
      </c>
      <c r="E116" s="3">
        <v>1108.3499999999999</v>
      </c>
      <c r="F116" s="3">
        <f t="shared" si="9"/>
        <v>1477.8</v>
      </c>
      <c r="G116" s="3">
        <v>1500</v>
      </c>
      <c r="H116" s="5">
        <v>1700</v>
      </c>
    </row>
    <row r="117" spans="1:8" ht="15" customHeight="1" x14ac:dyDescent="0.25">
      <c r="A117" s="2" t="s">
        <v>1297</v>
      </c>
      <c r="B117" s="2" t="s">
        <v>62</v>
      </c>
      <c r="C117" s="3">
        <v>621.24</v>
      </c>
      <c r="D117" s="3">
        <v>237.51</v>
      </c>
      <c r="E117" s="3">
        <v>444.17</v>
      </c>
      <c r="F117" s="3">
        <f t="shared" si="9"/>
        <v>592.22666666666669</v>
      </c>
      <c r="G117" s="3">
        <v>650</v>
      </c>
      <c r="H117" s="5">
        <v>800</v>
      </c>
    </row>
    <row r="118" spans="1:8" ht="15" customHeight="1" x14ac:dyDescent="0.25">
      <c r="A118" s="2" t="s">
        <v>1298</v>
      </c>
      <c r="B118" s="2" t="s">
        <v>947</v>
      </c>
      <c r="C118" s="3">
        <v>0</v>
      </c>
      <c r="D118" s="3">
        <v>0</v>
      </c>
      <c r="E118" s="3">
        <v>0</v>
      </c>
      <c r="F118" s="3">
        <f t="shared" si="9"/>
        <v>0</v>
      </c>
      <c r="G118" s="3">
        <v>0</v>
      </c>
      <c r="H118" s="5">
        <v>0</v>
      </c>
    </row>
    <row r="119" spans="1:8" ht="15" customHeight="1" x14ac:dyDescent="0.25">
      <c r="A119" s="2" t="s">
        <v>1299</v>
      </c>
      <c r="B119" s="2" t="s">
        <v>64</v>
      </c>
      <c r="C119" s="3">
        <v>503.79</v>
      </c>
      <c r="D119" s="3">
        <v>15.64</v>
      </c>
      <c r="E119" s="3">
        <v>144.62</v>
      </c>
      <c r="F119" s="3">
        <f t="shared" si="9"/>
        <v>192.82666666666665</v>
      </c>
      <c r="G119" s="3">
        <v>500</v>
      </c>
      <c r="H119" s="5">
        <v>500</v>
      </c>
    </row>
    <row r="120" spans="1:8" ht="15" customHeight="1" x14ac:dyDescent="0.25">
      <c r="A120" s="2" t="s">
        <v>1300</v>
      </c>
      <c r="B120" s="2" t="s">
        <v>1301</v>
      </c>
      <c r="C120" s="3">
        <v>0</v>
      </c>
      <c r="D120" s="3">
        <v>0</v>
      </c>
      <c r="E120" s="3">
        <v>0</v>
      </c>
      <c r="F120" s="3">
        <f t="shared" si="9"/>
        <v>0</v>
      </c>
      <c r="G120" s="3">
        <v>0</v>
      </c>
      <c r="H120" s="5">
        <v>0</v>
      </c>
    </row>
    <row r="121" spans="1:8" ht="15" customHeight="1" x14ac:dyDescent="0.25">
      <c r="A121" s="2" t="s">
        <v>1302</v>
      </c>
      <c r="B121" s="2" t="s">
        <v>1303</v>
      </c>
      <c r="C121" s="3">
        <v>192603.36</v>
      </c>
      <c r="D121" s="3">
        <v>67340.759999999995</v>
      </c>
      <c r="E121" s="3">
        <v>133131.32999999999</v>
      </c>
      <c r="F121" s="3">
        <f t="shared" si="9"/>
        <v>177508.44</v>
      </c>
      <c r="G121" s="3">
        <v>122755</v>
      </c>
      <c r="H121" s="5">
        <f>G121*1.05</f>
        <v>128892.75</v>
      </c>
    </row>
    <row r="122" spans="1:8" ht="15" customHeight="1" x14ac:dyDescent="0.25">
      <c r="A122" s="2" t="s">
        <v>1304</v>
      </c>
      <c r="B122" s="2" t="s">
        <v>1305</v>
      </c>
      <c r="C122" s="3">
        <v>446396.47</v>
      </c>
      <c r="D122" s="3">
        <v>157697.76</v>
      </c>
      <c r="E122" s="3">
        <v>297224.39</v>
      </c>
      <c r="F122" s="3">
        <f t="shared" si="9"/>
        <v>396299.1866666667</v>
      </c>
      <c r="G122" s="3">
        <v>276201</v>
      </c>
      <c r="H122" s="5">
        <f>G122*1.05</f>
        <v>290011.05</v>
      </c>
    </row>
    <row r="123" spans="1:8" ht="15" customHeight="1" x14ac:dyDescent="0.25">
      <c r="A123" s="1" t="s">
        <v>1306</v>
      </c>
      <c r="B123" s="1" t="s">
        <v>2</v>
      </c>
      <c r="C123" s="4">
        <v>1111598.8999999999</v>
      </c>
      <c r="D123" s="4">
        <v>511680.72</v>
      </c>
      <c r="E123" s="4">
        <f>SUM(E95:E122)</f>
        <v>804704.98999999987</v>
      </c>
      <c r="F123" s="4">
        <f>SUM(F95:F122)</f>
        <v>1072939.9866666666</v>
      </c>
      <c r="G123" s="6">
        <f>SUM(G95:G122)</f>
        <v>907001.34999999986</v>
      </c>
      <c r="H123" s="6">
        <f>SUM(H95:H122)</f>
        <v>983979.07456147275</v>
      </c>
    </row>
    <row r="124" spans="1:8" x14ac:dyDescent="0.25">
      <c r="A124" s="1" t="s">
        <v>2</v>
      </c>
      <c r="B124" s="1" t="s">
        <v>2</v>
      </c>
      <c r="C124" s="1" t="s">
        <v>2</v>
      </c>
      <c r="D124" s="1" t="s">
        <v>2</v>
      </c>
      <c r="E124" s="1"/>
      <c r="F124" s="1"/>
      <c r="G124" s="1" t="s">
        <v>2</v>
      </c>
      <c r="H124" s="1" t="s">
        <v>2</v>
      </c>
    </row>
    <row r="125" spans="1:8" ht="15" customHeight="1" x14ac:dyDescent="0.25">
      <c r="A125" s="1" t="s">
        <v>1307</v>
      </c>
      <c r="B125" s="1" t="s">
        <v>2</v>
      </c>
    </row>
    <row r="126" spans="1:8" ht="15" customHeight="1" x14ac:dyDescent="0.25">
      <c r="A126" s="2" t="s">
        <v>1308</v>
      </c>
      <c r="B126" s="2" t="s">
        <v>108</v>
      </c>
      <c r="C126" s="3">
        <v>208669.67</v>
      </c>
      <c r="D126" s="3">
        <v>106815.01</v>
      </c>
      <c r="E126" s="3">
        <v>166154.79999999999</v>
      </c>
      <c r="F126" s="3">
        <f t="shared" ref="F126:F149" si="10">E126/9*12</f>
        <v>221539.73333333331</v>
      </c>
      <c r="G126" s="3">
        <v>279927.38</v>
      </c>
      <c r="H126" s="302">
        <v>211345.6</v>
      </c>
    </row>
    <row r="127" spans="1:8" ht="15" customHeight="1" x14ac:dyDescent="0.25">
      <c r="A127" s="2" t="s">
        <v>1309</v>
      </c>
      <c r="B127" s="2" t="s">
        <v>567</v>
      </c>
      <c r="C127" s="3">
        <v>1319.99</v>
      </c>
      <c r="D127" s="3">
        <v>0</v>
      </c>
      <c r="E127" s="3">
        <v>1365</v>
      </c>
      <c r="F127" s="3">
        <f t="shared" si="10"/>
        <v>1820</v>
      </c>
      <c r="G127" s="3">
        <v>4488</v>
      </c>
      <c r="H127" s="302">
        <v>1320</v>
      </c>
    </row>
    <row r="128" spans="1:8" ht="15" customHeight="1" x14ac:dyDescent="0.25">
      <c r="A128" s="2" t="s">
        <v>1310</v>
      </c>
      <c r="B128" s="2" t="s">
        <v>786</v>
      </c>
      <c r="C128" s="3">
        <v>11191.54</v>
      </c>
      <c r="D128" s="3">
        <v>4144.21</v>
      </c>
      <c r="E128" s="3">
        <v>6565.41</v>
      </c>
      <c r="F128" s="3">
        <f t="shared" si="10"/>
        <v>8753.880000000001</v>
      </c>
      <c r="G128" s="3">
        <v>7832.8</v>
      </c>
      <c r="H128" s="302">
        <v>10771.93</v>
      </c>
    </row>
    <row r="129" spans="1:8" ht="15" customHeight="1" x14ac:dyDescent="0.25">
      <c r="A129" s="2" t="s">
        <v>1311</v>
      </c>
      <c r="B129" s="2" t="s">
        <v>29</v>
      </c>
      <c r="C129" s="3">
        <v>53818.48</v>
      </c>
      <c r="D129" s="3">
        <v>28536.35</v>
      </c>
      <c r="E129" s="3">
        <v>45011.47</v>
      </c>
      <c r="F129" s="3">
        <f t="shared" si="10"/>
        <v>60015.293333333335</v>
      </c>
      <c r="G129" s="3">
        <v>79527.8</v>
      </c>
      <c r="H129" s="302">
        <f>57515.91+2782.88</f>
        <v>60298.79</v>
      </c>
    </row>
    <row r="130" spans="1:8" ht="15" customHeight="1" x14ac:dyDescent="0.25">
      <c r="A130" s="2" t="s">
        <v>1312</v>
      </c>
      <c r="B130" s="2" t="s">
        <v>128</v>
      </c>
      <c r="C130" s="3">
        <v>4998.75</v>
      </c>
      <c r="D130" s="3">
        <v>2093.56</v>
      </c>
      <c r="E130" s="3">
        <v>3184.48</v>
      </c>
      <c r="F130" s="3">
        <f t="shared" si="10"/>
        <v>4245.9733333333334</v>
      </c>
      <c r="G130" s="3">
        <v>9507.93</v>
      </c>
      <c r="H130" s="302">
        <f>73.19+4132.37</f>
        <v>4205.5599999999995</v>
      </c>
    </row>
    <row r="131" spans="1:8" ht="15" customHeight="1" x14ac:dyDescent="0.25">
      <c r="A131" s="2" t="s">
        <v>1313</v>
      </c>
      <c r="B131" s="2" t="s">
        <v>33</v>
      </c>
      <c r="C131" s="3">
        <v>27605.88</v>
      </c>
      <c r="D131" s="3">
        <v>12504.08</v>
      </c>
      <c r="E131" s="3">
        <v>19526.349999999999</v>
      </c>
      <c r="F131" s="3">
        <f t="shared" si="10"/>
        <v>26035.133333333331</v>
      </c>
      <c r="G131" s="3">
        <v>33388.589999999997</v>
      </c>
      <c r="H131" s="302">
        <f>21980.84</f>
        <v>21980.84</v>
      </c>
    </row>
    <row r="132" spans="1:8" ht="15" customHeight="1" x14ac:dyDescent="0.25">
      <c r="A132" s="2" t="s">
        <v>1314</v>
      </c>
      <c r="B132" s="2" t="s">
        <v>11</v>
      </c>
      <c r="C132" s="3">
        <v>15848.4</v>
      </c>
      <c r="D132" s="3">
        <v>8049.82</v>
      </c>
      <c r="E132" s="3">
        <v>12626.37</v>
      </c>
      <c r="F132" s="3">
        <f t="shared" si="10"/>
        <v>16835.16</v>
      </c>
      <c r="G132" s="3">
        <v>21757.78</v>
      </c>
      <c r="H132" s="302">
        <v>16167.94</v>
      </c>
    </row>
    <row r="133" spans="1:8" ht="15" customHeight="1" x14ac:dyDescent="0.25">
      <c r="A133" s="2" t="s">
        <v>1315</v>
      </c>
      <c r="B133" s="2" t="s">
        <v>13</v>
      </c>
      <c r="C133" s="3">
        <v>325.7</v>
      </c>
      <c r="D133" s="3">
        <v>234.98</v>
      </c>
      <c r="E133" s="3">
        <v>371.66</v>
      </c>
      <c r="F133" s="3">
        <f t="shared" si="10"/>
        <v>495.54666666666674</v>
      </c>
      <c r="G133" s="3">
        <v>429.6</v>
      </c>
      <c r="H133" s="302">
        <f>2.12+465.24+23.64</f>
        <v>491</v>
      </c>
    </row>
    <row r="134" spans="1:8" ht="15" customHeight="1" x14ac:dyDescent="0.25">
      <c r="A134" s="2" t="s">
        <v>1316</v>
      </c>
      <c r="B134" s="2" t="s">
        <v>85</v>
      </c>
      <c r="C134" s="3">
        <v>1075.0899999999999</v>
      </c>
      <c r="D134" s="3">
        <v>1064.76</v>
      </c>
      <c r="E134" s="3">
        <v>1064.76</v>
      </c>
      <c r="F134" s="3">
        <f t="shared" si="10"/>
        <v>1419.68</v>
      </c>
      <c r="G134" s="3">
        <v>1785</v>
      </c>
      <c r="H134" s="302">
        <v>1428</v>
      </c>
    </row>
    <row r="135" spans="1:8" ht="15" customHeight="1" x14ac:dyDescent="0.25">
      <c r="A135" s="2" t="s">
        <v>1317</v>
      </c>
      <c r="B135" s="2" t="s">
        <v>577</v>
      </c>
      <c r="C135" s="3">
        <v>235.67</v>
      </c>
      <c r="D135" s="3">
        <v>70.739999999999995</v>
      </c>
      <c r="E135" s="3">
        <v>112.55</v>
      </c>
      <c r="F135" s="3">
        <f t="shared" si="10"/>
        <v>150.06666666666666</v>
      </c>
      <c r="G135" s="3">
        <v>197.26</v>
      </c>
      <c r="H135" s="302">
        <v>198.23</v>
      </c>
    </row>
    <row r="136" spans="1:8" ht="15" customHeight="1" x14ac:dyDescent="0.25">
      <c r="A136" s="2" t="s">
        <v>1318</v>
      </c>
      <c r="B136" s="2" t="s">
        <v>579</v>
      </c>
      <c r="C136" s="3">
        <v>1482.42</v>
      </c>
      <c r="D136" s="3">
        <v>480.56</v>
      </c>
      <c r="E136" s="3">
        <v>763.21</v>
      </c>
      <c r="F136" s="3">
        <f t="shared" si="10"/>
        <v>1017.6133333333333</v>
      </c>
      <c r="G136" s="3">
        <v>937.47</v>
      </c>
      <c r="H136" s="302">
        <v>121.3</v>
      </c>
    </row>
    <row r="137" spans="1:8" ht="15" customHeight="1" x14ac:dyDescent="0.25">
      <c r="A137" s="2" t="s">
        <v>1319</v>
      </c>
      <c r="B137" s="2" t="s">
        <v>581</v>
      </c>
      <c r="C137" s="3">
        <v>841.16</v>
      </c>
      <c r="D137" s="3">
        <v>313.08999999999997</v>
      </c>
      <c r="E137" s="3">
        <v>495.92</v>
      </c>
      <c r="F137" s="3">
        <f t="shared" si="10"/>
        <v>661.22666666666669</v>
      </c>
      <c r="G137" s="3">
        <v>599.21</v>
      </c>
      <c r="H137" s="302">
        <v>824.05</v>
      </c>
    </row>
    <row r="138" spans="1:8" ht="15" customHeight="1" x14ac:dyDescent="0.25">
      <c r="A138" s="2" t="s">
        <v>1320</v>
      </c>
      <c r="B138" s="2" t="s">
        <v>458</v>
      </c>
      <c r="C138" s="3">
        <v>1104.18</v>
      </c>
      <c r="D138" s="3">
        <v>258.31</v>
      </c>
      <c r="E138" s="3">
        <v>328.03</v>
      </c>
      <c r="F138" s="3">
        <f t="shared" si="10"/>
        <v>437.37333333333328</v>
      </c>
      <c r="G138" s="3">
        <v>1042.1600000000001</v>
      </c>
      <c r="H138" s="302">
        <v>751.64</v>
      </c>
    </row>
    <row r="139" spans="1:8" ht="15" customHeight="1" x14ac:dyDescent="0.25">
      <c r="A139" s="2" t="s">
        <v>1321</v>
      </c>
      <c r="B139" s="2" t="s">
        <v>585</v>
      </c>
      <c r="C139" s="3">
        <v>315</v>
      </c>
      <c r="D139" s="3">
        <v>0</v>
      </c>
      <c r="E139" s="3">
        <v>120.69</v>
      </c>
      <c r="F139" s="3">
        <f t="shared" si="10"/>
        <v>160.92000000000002</v>
      </c>
      <c r="G139" s="3">
        <v>80</v>
      </c>
      <c r="H139" s="302">
        <v>155</v>
      </c>
    </row>
    <row r="140" spans="1:8" ht="15" customHeight="1" x14ac:dyDescent="0.25">
      <c r="A140" s="2" t="s">
        <v>1322</v>
      </c>
      <c r="B140" s="2" t="s">
        <v>1323</v>
      </c>
      <c r="C140" s="3">
        <v>120556.22</v>
      </c>
      <c r="D140" s="3">
        <v>40091.1</v>
      </c>
      <c r="E140" s="3">
        <v>49773.25</v>
      </c>
      <c r="F140" s="3">
        <f t="shared" si="10"/>
        <v>66364.333333333343</v>
      </c>
      <c r="G140" s="3">
        <v>125000</v>
      </c>
      <c r="H140" s="5">
        <v>125000</v>
      </c>
    </row>
    <row r="141" spans="1:8" ht="15" customHeight="1" x14ac:dyDescent="0.25">
      <c r="A141" s="2" t="s">
        <v>1324</v>
      </c>
      <c r="B141" s="2" t="s">
        <v>1325</v>
      </c>
      <c r="C141" s="3">
        <v>0</v>
      </c>
      <c r="D141" s="3">
        <v>0</v>
      </c>
      <c r="E141" s="3">
        <v>0</v>
      </c>
      <c r="F141" s="3">
        <f t="shared" si="10"/>
        <v>0</v>
      </c>
      <c r="G141" s="3">
        <v>6000</v>
      </c>
      <c r="H141" s="5">
        <v>6000</v>
      </c>
    </row>
    <row r="142" spans="1:8" ht="15" customHeight="1" x14ac:dyDescent="0.25">
      <c r="A142" s="2" t="s">
        <v>1326</v>
      </c>
      <c r="B142" s="2" t="s">
        <v>1327</v>
      </c>
      <c r="C142" s="3">
        <v>3792.68</v>
      </c>
      <c r="D142" s="3">
        <v>3439.7</v>
      </c>
      <c r="E142" s="3">
        <v>4145.34</v>
      </c>
      <c r="F142" s="3">
        <f t="shared" si="10"/>
        <v>5527.1200000000008</v>
      </c>
      <c r="G142" s="3">
        <v>5000</v>
      </c>
      <c r="H142" s="5">
        <v>5000</v>
      </c>
    </row>
    <row r="143" spans="1:8" ht="15" customHeight="1" x14ac:dyDescent="0.25">
      <c r="A143" s="2" t="s">
        <v>1328</v>
      </c>
      <c r="B143" s="2" t="s">
        <v>940</v>
      </c>
      <c r="C143" s="3">
        <v>2323.2399999999998</v>
      </c>
      <c r="D143" s="3">
        <v>477.14</v>
      </c>
      <c r="E143" s="3">
        <v>3008.34</v>
      </c>
      <c r="F143" s="3">
        <f t="shared" si="10"/>
        <v>4011.12</v>
      </c>
      <c r="G143" s="3">
        <v>7500</v>
      </c>
      <c r="H143" s="5">
        <v>7500</v>
      </c>
    </row>
    <row r="144" spans="1:8" x14ac:dyDescent="0.25">
      <c r="A144" s="2" t="s">
        <v>1329</v>
      </c>
      <c r="B144" s="2" t="s">
        <v>1330</v>
      </c>
      <c r="C144" s="3">
        <v>5322.31</v>
      </c>
      <c r="D144" s="3">
        <v>223.81</v>
      </c>
      <c r="E144" s="3">
        <v>2374.9299999999998</v>
      </c>
      <c r="F144" s="3">
        <f t="shared" si="10"/>
        <v>3166.5733333333328</v>
      </c>
      <c r="G144" s="3">
        <v>8000</v>
      </c>
      <c r="H144" s="5">
        <v>8000</v>
      </c>
    </row>
    <row r="145" spans="1:8" ht="15" customHeight="1" x14ac:dyDescent="0.25">
      <c r="A145" s="2" t="s">
        <v>1331</v>
      </c>
      <c r="B145" s="2" t="s">
        <v>59</v>
      </c>
      <c r="C145" s="3">
        <v>0</v>
      </c>
      <c r="D145" s="3">
        <v>0</v>
      </c>
      <c r="E145" s="3">
        <v>0</v>
      </c>
      <c r="F145" s="3">
        <f t="shared" si="10"/>
        <v>0</v>
      </c>
      <c r="G145" s="3">
        <v>0</v>
      </c>
      <c r="H145" s="5">
        <v>0</v>
      </c>
    </row>
    <row r="146" spans="1:8" ht="15" customHeight="1" x14ac:dyDescent="0.25">
      <c r="A146" s="2" t="s">
        <v>1332</v>
      </c>
      <c r="B146" s="2" t="s">
        <v>17</v>
      </c>
      <c r="C146" s="3">
        <v>0</v>
      </c>
      <c r="D146" s="3">
        <v>0</v>
      </c>
      <c r="E146" s="3">
        <v>0</v>
      </c>
      <c r="F146" s="3">
        <f t="shared" si="10"/>
        <v>0</v>
      </c>
      <c r="G146" s="3">
        <v>0</v>
      </c>
      <c r="H146" s="5">
        <v>0</v>
      </c>
    </row>
    <row r="147" spans="1:8" ht="15" customHeight="1" x14ac:dyDescent="0.25">
      <c r="A147" s="2" t="s">
        <v>1333</v>
      </c>
      <c r="B147" s="2" t="s">
        <v>947</v>
      </c>
      <c r="C147" s="3">
        <v>178.08</v>
      </c>
      <c r="D147" s="3">
        <v>0</v>
      </c>
      <c r="E147" s="3">
        <v>0</v>
      </c>
      <c r="F147" s="3">
        <f t="shared" si="10"/>
        <v>0</v>
      </c>
      <c r="G147" s="3">
        <v>0</v>
      </c>
      <c r="H147" s="5">
        <v>0</v>
      </c>
    </row>
    <row r="148" spans="1:8" ht="15" customHeight="1" x14ac:dyDescent="0.25">
      <c r="A148" s="2" t="s">
        <v>1334</v>
      </c>
      <c r="B148" s="2" t="s">
        <v>64</v>
      </c>
      <c r="C148" s="3">
        <v>104.67</v>
      </c>
      <c r="D148" s="3">
        <v>0</v>
      </c>
      <c r="E148" s="3">
        <v>0</v>
      </c>
      <c r="F148" s="3">
        <f t="shared" si="10"/>
        <v>0</v>
      </c>
      <c r="G148" s="3">
        <v>2000</v>
      </c>
      <c r="H148" s="5">
        <v>2000</v>
      </c>
    </row>
    <row r="149" spans="1:8" ht="15" customHeight="1" x14ac:dyDescent="0.25">
      <c r="A149" s="2" t="s">
        <v>1335</v>
      </c>
      <c r="B149" s="2" t="s">
        <v>956</v>
      </c>
      <c r="C149" s="3">
        <v>168</v>
      </c>
      <c r="D149" s="3">
        <v>52.02</v>
      </c>
      <c r="E149" s="3">
        <v>52.02</v>
      </c>
      <c r="F149" s="3">
        <f t="shared" si="10"/>
        <v>69.36</v>
      </c>
      <c r="G149" s="3">
        <v>2500</v>
      </c>
      <c r="H149" s="5">
        <v>2500</v>
      </c>
    </row>
    <row r="150" spans="1:8" ht="15" customHeight="1" x14ac:dyDescent="0.25">
      <c r="A150" s="1" t="s">
        <v>1336</v>
      </c>
      <c r="B150" s="1" t="s">
        <v>2</v>
      </c>
      <c r="C150" s="4">
        <v>461277.13</v>
      </c>
      <c r="D150" s="4">
        <v>208849.24</v>
      </c>
      <c r="E150" s="4">
        <f>SUM(E126:E149)</f>
        <v>317044.58000000007</v>
      </c>
      <c r="F150" s="4">
        <f>SUM(F126:F149)</f>
        <v>422726.10666666663</v>
      </c>
      <c r="G150" s="6">
        <f>SUM(G126:G149)</f>
        <v>597500.98</v>
      </c>
      <c r="H150" s="6">
        <f>SUM(H126:H149)</f>
        <v>486059.88</v>
      </c>
    </row>
    <row r="151" spans="1:8" x14ac:dyDescent="0.25">
      <c r="A151" s="1" t="s">
        <v>2</v>
      </c>
      <c r="B151" s="1" t="s">
        <v>2</v>
      </c>
      <c r="C151" s="1" t="s">
        <v>2</v>
      </c>
      <c r="D151" s="1" t="s">
        <v>2</v>
      </c>
      <c r="E151" s="1"/>
      <c r="F151" s="1"/>
      <c r="G151" s="1" t="s">
        <v>2</v>
      </c>
      <c r="H151" s="1" t="s">
        <v>2</v>
      </c>
    </row>
    <row r="152" spans="1:8" ht="15" customHeight="1" x14ac:dyDescent="0.25">
      <c r="A152" s="1" t="s">
        <v>1337</v>
      </c>
      <c r="B152" s="1" t="s">
        <v>2</v>
      </c>
    </row>
    <row r="153" spans="1:8" ht="15" customHeight="1" x14ac:dyDescent="0.25">
      <c r="A153" s="2" t="s">
        <v>1338</v>
      </c>
      <c r="B153" s="2" t="s">
        <v>786</v>
      </c>
      <c r="C153" s="3">
        <v>26705.3</v>
      </c>
      <c r="D153" s="3">
        <v>13902.12</v>
      </c>
      <c r="E153" s="3">
        <v>22251.55</v>
      </c>
      <c r="F153" s="3">
        <f t="shared" ref="F153:F187" si="11">E153/9*12</f>
        <v>29668.73333333333</v>
      </c>
      <c r="G153" s="3">
        <v>0</v>
      </c>
      <c r="H153" s="302">
        <f>F153*1.055</f>
        <v>31300.513666666662</v>
      </c>
    </row>
    <row r="154" spans="1:8" ht="15" customHeight="1" x14ac:dyDescent="0.25">
      <c r="A154" s="2" t="s">
        <v>1339</v>
      </c>
      <c r="B154" s="2" t="s">
        <v>108</v>
      </c>
      <c r="C154" s="3">
        <v>217953.64</v>
      </c>
      <c r="D154" s="3">
        <v>101871.95</v>
      </c>
      <c r="E154" s="3">
        <v>179590.6</v>
      </c>
      <c r="F154" s="3">
        <f t="shared" si="11"/>
        <v>239454.13333333333</v>
      </c>
      <c r="G154" s="3">
        <v>258550.04</v>
      </c>
      <c r="H154" s="302">
        <v>277099.07</v>
      </c>
    </row>
    <row r="155" spans="1:8" ht="15" customHeight="1" x14ac:dyDescent="0.25">
      <c r="A155" s="2" t="s">
        <v>1340</v>
      </c>
      <c r="B155" s="2" t="s">
        <v>1341</v>
      </c>
      <c r="C155" s="3">
        <v>0</v>
      </c>
      <c r="D155" s="3">
        <v>0</v>
      </c>
      <c r="E155" s="3">
        <v>0</v>
      </c>
      <c r="F155" s="3">
        <f t="shared" si="11"/>
        <v>0</v>
      </c>
      <c r="G155" s="3">
        <v>3944</v>
      </c>
      <c r="H155" s="302">
        <f t="shared" ref="H155" si="12">F155*1.055</f>
        <v>0</v>
      </c>
    </row>
    <row r="156" spans="1:8" ht="15" customHeight="1" x14ac:dyDescent="0.25">
      <c r="A156" s="2" t="s">
        <v>1342</v>
      </c>
      <c r="B156" s="2" t="s">
        <v>29</v>
      </c>
      <c r="C156" s="3">
        <v>58188.52</v>
      </c>
      <c r="D156" s="3">
        <v>29295.79</v>
      </c>
      <c r="E156" s="3">
        <v>51264.33</v>
      </c>
      <c r="F156" s="3">
        <f t="shared" si="11"/>
        <v>68352.44</v>
      </c>
      <c r="G156" s="3">
        <v>67370.98</v>
      </c>
      <c r="H156" s="302">
        <v>70167.88</v>
      </c>
    </row>
    <row r="157" spans="1:8" ht="15" customHeight="1" x14ac:dyDescent="0.25">
      <c r="A157" s="2" t="s">
        <v>1343</v>
      </c>
      <c r="B157" s="2" t="s">
        <v>128</v>
      </c>
      <c r="C157" s="3">
        <v>4875.58</v>
      </c>
      <c r="D157" s="3">
        <v>1674.8</v>
      </c>
      <c r="E157" s="3">
        <v>3045.22</v>
      </c>
      <c r="F157" s="3">
        <f t="shared" si="11"/>
        <v>4060.2933333333331</v>
      </c>
      <c r="G157" s="3">
        <v>6904.1</v>
      </c>
      <c r="H157" s="302">
        <v>4574.58</v>
      </c>
    </row>
    <row r="158" spans="1:8" ht="15" customHeight="1" x14ac:dyDescent="0.25">
      <c r="A158" s="2" t="s">
        <v>1344</v>
      </c>
      <c r="B158" s="2" t="s">
        <v>33</v>
      </c>
      <c r="C158" s="3">
        <v>24379.96</v>
      </c>
      <c r="D158" s="3">
        <v>10295.18</v>
      </c>
      <c r="E158" s="3">
        <v>18229.38</v>
      </c>
      <c r="F158" s="3">
        <f t="shared" si="11"/>
        <v>24305.84</v>
      </c>
      <c r="G158" s="3">
        <v>30904.18</v>
      </c>
      <c r="H158" s="302">
        <v>28790.6</v>
      </c>
    </row>
    <row r="159" spans="1:8" ht="15" customHeight="1" x14ac:dyDescent="0.25">
      <c r="A159" s="2" t="s">
        <v>1345</v>
      </c>
      <c r="B159" s="2" t="s">
        <v>11</v>
      </c>
      <c r="C159" s="3">
        <v>16450.84</v>
      </c>
      <c r="D159" s="3">
        <v>7685.59</v>
      </c>
      <c r="E159" s="3">
        <v>13547.52</v>
      </c>
      <c r="F159" s="3">
        <f t="shared" si="11"/>
        <v>18063.36</v>
      </c>
      <c r="G159" s="3">
        <v>20080.79</v>
      </c>
      <c r="H159" s="302">
        <v>21198.080000000002</v>
      </c>
    </row>
    <row r="160" spans="1:8" ht="15" customHeight="1" x14ac:dyDescent="0.25">
      <c r="A160" s="2" t="s">
        <v>1346</v>
      </c>
      <c r="B160" s="2" t="s">
        <v>1347</v>
      </c>
      <c r="C160" s="3">
        <v>3921.79</v>
      </c>
      <c r="D160" s="3">
        <v>1668.58</v>
      </c>
      <c r="E160" s="3">
        <v>2831.92</v>
      </c>
      <c r="F160" s="3">
        <f t="shared" si="11"/>
        <v>3775.8933333333334</v>
      </c>
      <c r="G160" s="3">
        <v>0</v>
      </c>
      <c r="H160" s="302">
        <f t="shared" ref="H160:H164" si="13">F160*1.055</f>
        <v>3983.5674666666664</v>
      </c>
    </row>
    <row r="161" spans="1:8" ht="15" customHeight="1" x14ac:dyDescent="0.25">
      <c r="A161" s="2" t="s">
        <v>1348</v>
      </c>
      <c r="B161" s="2" t="s">
        <v>13</v>
      </c>
      <c r="C161" s="3">
        <v>358.99</v>
      </c>
      <c r="D161" s="3">
        <v>247.12</v>
      </c>
      <c r="E161" s="3">
        <v>430.21</v>
      </c>
      <c r="F161" s="3">
        <f t="shared" si="11"/>
        <v>573.61333333333334</v>
      </c>
      <c r="G161" s="3">
        <v>385.87</v>
      </c>
      <c r="H161" s="302">
        <v>608.79</v>
      </c>
    </row>
    <row r="162" spans="1:8" ht="15" customHeight="1" x14ac:dyDescent="0.25">
      <c r="A162" s="2" t="s">
        <v>1349</v>
      </c>
      <c r="B162" s="2" t="s">
        <v>577</v>
      </c>
      <c r="C162" s="3">
        <v>505</v>
      </c>
      <c r="D162" s="3">
        <v>206.46</v>
      </c>
      <c r="E162" s="3">
        <v>321.89</v>
      </c>
      <c r="F162" s="3">
        <f t="shared" si="11"/>
        <v>429.18666666666661</v>
      </c>
      <c r="G162" s="3">
        <v>0</v>
      </c>
      <c r="H162" s="302">
        <f t="shared" si="13"/>
        <v>452.79193333333325</v>
      </c>
    </row>
    <row r="163" spans="1:8" ht="15" customHeight="1" x14ac:dyDescent="0.25">
      <c r="A163" s="2" t="s">
        <v>1350</v>
      </c>
      <c r="B163" s="2" t="s">
        <v>579</v>
      </c>
      <c r="C163" s="3">
        <v>3526.39</v>
      </c>
      <c r="D163" s="3">
        <v>1667.85</v>
      </c>
      <c r="E163" s="3">
        <v>2639.8</v>
      </c>
      <c r="F163" s="3">
        <f t="shared" si="11"/>
        <v>3519.7333333333336</v>
      </c>
      <c r="G163" s="3">
        <v>0</v>
      </c>
      <c r="H163" s="302">
        <f t="shared" si="13"/>
        <v>3713.3186666666666</v>
      </c>
    </row>
    <row r="164" spans="1:8" ht="15" customHeight="1" x14ac:dyDescent="0.25">
      <c r="A164" s="2" t="s">
        <v>1351</v>
      </c>
      <c r="B164" s="2" t="s">
        <v>581</v>
      </c>
      <c r="C164" s="3">
        <v>2021.08</v>
      </c>
      <c r="D164" s="3">
        <v>1049.18</v>
      </c>
      <c r="E164" s="3">
        <v>1678.85</v>
      </c>
      <c r="F164" s="3">
        <f t="shared" si="11"/>
        <v>2238.4666666666667</v>
      </c>
      <c r="G164" s="3">
        <v>0</v>
      </c>
      <c r="H164" s="302">
        <f t="shared" si="13"/>
        <v>2361.5823333333333</v>
      </c>
    </row>
    <row r="165" spans="1:8" ht="15" customHeight="1" x14ac:dyDescent="0.25">
      <c r="A165" s="2" t="s">
        <v>1352</v>
      </c>
      <c r="B165" s="2" t="s">
        <v>458</v>
      </c>
      <c r="C165" s="3">
        <v>789.9</v>
      </c>
      <c r="D165" s="3">
        <v>268.70999999999998</v>
      </c>
      <c r="E165" s="3">
        <v>325.97000000000003</v>
      </c>
      <c r="F165" s="3">
        <f t="shared" si="11"/>
        <v>434.62666666666667</v>
      </c>
      <c r="G165" s="3">
        <v>825</v>
      </c>
      <c r="H165" s="302">
        <v>825</v>
      </c>
    </row>
    <row r="166" spans="1:8" ht="15" customHeight="1" x14ac:dyDescent="0.25">
      <c r="A166" s="2" t="s">
        <v>1353</v>
      </c>
      <c r="B166" s="2" t="s">
        <v>1354</v>
      </c>
      <c r="C166" s="3">
        <v>64133.95</v>
      </c>
      <c r="D166" s="3">
        <v>15430.79</v>
      </c>
      <c r="E166" s="3">
        <v>47807.22</v>
      </c>
      <c r="F166" s="3">
        <f t="shared" si="11"/>
        <v>63742.960000000006</v>
      </c>
      <c r="G166" s="3">
        <v>55000</v>
      </c>
      <c r="H166" s="302">
        <v>61000</v>
      </c>
    </row>
    <row r="167" spans="1:8" ht="15" customHeight="1" x14ac:dyDescent="0.25">
      <c r="A167" s="2" t="s">
        <v>1355</v>
      </c>
      <c r="B167" s="2" t="s">
        <v>1356</v>
      </c>
      <c r="C167" s="3">
        <v>483.28</v>
      </c>
      <c r="D167" s="3">
        <v>57.64</v>
      </c>
      <c r="E167" s="3">
        <v>2875.37</v>
      </c>
      <c r="F167" s="3">
        <f t="shared" si="11"/>
        <v>3833.8266666666668</v>
      </c>
      <c r="G167" s="3">
        <v>3000</v>
      </c>
      <c r="H167" s="5">
        <v>3000</v>
      </c>
    </row>
    <row r="168" spans="1:8" ht="15" customHeight="1" x14ac:dyDescent="0.25">
      <c r="A168" s="2" t="s">
        <v>1357</v>
      </c>
      <c r="B168" s="2" t="s">
        <v>1358</v>
      </c>
      <c r="C168" s="3">
        <v>5155.9799999999996</v>
      </c>
      <c r="D168" s="3">
        <v>3394.97</v>
      </c>
      <c r="E168" s="3">
        <v>8252.59</v>
      </c>
      <c r="F168" s="3">
        <f t="shared" si="11"/>
        <v>11003.453333333333</v>
      </c>
      <c r="G168" s="3">
        <v>10000</v>
      </c>
      <c r="H168" s="5">
        <v>10000</v>
      </c>
    </row>
    <row r="169" spans="1:8" x14ac:dyDescent="0.25">
      <c r="A169" s="2" t="s">
        <v>1359</v>
      </c>
      <c r="B169" s="2" t="s">
        <v>1360</v>
      </c>
      <c r="C169" s="3">
        <v>6390.47</v>
      </c>
      <c r="D169" s="3">
        <v>8279.68</v>
      </c>
      <c r="E169" s="3">
        <v>8279.68</v>
      </c>
      <c r="F169" s="3">
        <f t="shared" si="11"/>
        <v>11039.573333333334</v>
      </c>
      <c r="G169" s="3">
        <v>15000</v>
      </c>
      <c r="H169" s="5">
        <v>15000</v>
      </c>
    </row>
    <row r="170" spans="1:8" ht="15" customHeight="1" x14ac:dyDescent="0.25">
      <c r="A170" s="2" t="s">
        <v>1361</v>
      </c>
      <c r="B170" s="2" t="s">
        <v>1362</v>
      </c>
      <c r="C170" s="3">
        <v>54787.66</v>
      </c>
      <c r="D170" s="3">
        <v>48218.38</v>
      </c>
      <c r="E170" s="3">
        <v>48218.38</v>
      </c>
      <c r="F170" s="3">
        <f t="shared" si="11"/>
        <v>64291.173333333325</v>
      </c>
      <c r="G170" s="3">
        <v>120000</v>
      </c>
      <c r="H170" s="5">
        <v>120000</v>
      </c>
    </row>
    <row r="171" spans="1:8" ht="15" customHeight="1" x14ac:dyDescent="0.25">
      <c r="A171" s="2" t="s">
        <v>1363</v>
      </c>
      <c r="B171" s="2" t="s">
        <v>1364</v>
      </c>
      <c r="C171" s="3">
        <v>0</v>
      </c>
      <c r="D171" s="3">
        <v>0</v>
      </c>
      <c r="E171" s="3">
        <v>0</v>
      </c>
      <c r="F171" s="3">
        <f t="shared" si="11"/>
        <v>0</v>
      </c>
      <c r="G171" s="3">
        <v>25000</v>
      </c>
      <c r="H171" s="5">
        <v>30000</v>
      </c>
    </row>
    <row r="172" spans="1:8" ht="15" customHeight="1" x14ac:dyDescent="0.25">
      <c r="A172" s="2" t="s">
        <v>1365</v>
      </c>
      <c r="B172" s="2" t="s">
        <v>1366</v>
      </c>
      <c r="C172" s="3">
        <v>0</v>
      </c>
      <c r="D172" s="3">
        <v>0</v>
      </c>
      <c r="E172" s="3">
        <v>0</v>
      </c>
      <c r="F172" s="3">
        <f t="shared" si="11"/>
        <v>0</v>
      </c>
      <c r="G172" s="3">
        <v>50000</v>
      </c>
      <c r="H172" s="5">
        <v>65000</v>
      </c>
    </row>
    <row r="173" spans="1:8" ht="15" customHeight="1" x14ac:dyDescent="0.25">
      <c r="A173" s="2" t="s">
        <v>1367</v>
      </c>
      <c r="B173" s="2" t="s">
        <v>1368</v>
      </c>
      <c r="C173" s="3">
        <v>10661</v>
      </c>
      <c r="D173" s="3">
        <v>2163</v>
      </c>
      <c r="E173" s="3">
        <v>4806.9799999999996</v>
      </c>
      <c r="F173" s="3">
        <f t="shared" si="11"/>
        <v>6409.3066666666655</v>
      </c>
      <c r="G173" s="3">
        <v>20000</v>
      </c>
      <c r="H173" s="5">
        <v>20000</v>
      </c>
    </row>
    <row r="174" spans="1:8" ht="15" customHeight="1" x14ac:dyDescent="0.25">
      <c r="A174" s="2" t="s">
        <v>1369</v>
      </c>
      <c r="B174" s="2" t="s">
        <v>1370</v>
      </c>
      <c r="C174" s="3">
        <v>3793.63</v>
      </c>
      <c r="D174" s="3">
        <v>893.03</v>
      </c>
      <c r="E174" s="3">
        <v>910.64</v>
      </c>
      <c r="F174" s="3">
        <f t="shared" si="11"/>
        <v>1214.1866666666667</v>
      </c>
      <c r="G174" s="3">
        <v>3000</v>
      </c>
      <c r="H174" s="5">
        <v>4000</v>
      </c>
    </row>
    <row r="175" spans="1:8" x14ac:dyDescent="0.25">
      <c r="A175" s="2" t="s">
        <v>1371</v>
      </c>
      <c r="B175" s="2" t="s">
        <v>1372</v>
      </c>
      <c r="C175" s="3">
        <v>54913.75</v>
      </c>
      <c r="D175" s="3">
        <v>16566.82</v>
      </c>
      <c r="E175" s="3">
        <v>31037.14</v>
      </c>
      <c r="F175" s="3">
        <f t="shared" si="11"/>
        <v>41382.853333333333</v>
      </c>
      <c r="G175" s="3">
        <v>120000</v>
      </c>
      <c r="H175" s="5">
        <v>120000</v>
      </c>
    </row>
    <row r="176" spans="1:8" ht="15" customHeight="1" x14ac:dyDescent="0.25">
      <c r="A176" s="2" t="s">
        <v>1373</v>
      </c>
      <c r="B176" s="2" t="s">
        <v>604</v>
      </c>
      <c r="C176" s="3">
        <v>877.47</v>
      </c>
      <c r="D176" s="3">
        <v>0</v>
      </c>
      <c r="E176" s="3">
        <v>0</v>
      </c>
      <c r="F176" s="3">
        <f t="shared" si="11"/>
        <v>0</v>
      </c>
      <c r="G176" s="3">
        <v>0</v>
      </c>
      <c r="H176" s="5">
        <v>0</v>
      </c>
    </row>
    <row r="177" spans="1:9" ht="15" customHeight="1" x14ac:dyDescent="0.25">
      <c r="A177" s="2" t="s">
        <v>1374</v>
      </c>
      <c r="B177" s="2" t="s">
        <v>1375</v>
      </c>
      <c r="C177" s="3">
        <v>79.97</v>
      </c>
      <c r="D177" s="3">
        <v>26.12</v>
      </c>
      <c r="E177" s="3">
        <v>97.69</v>
      </c>
      <c r="F177" s="3">
        <f t="shared" si="11"/>
        <v>130.25333333333333</v>
      </c>
      <c r="G177" s="3">
        <v>1500</v>
      </c>
      <c r="H177" s="5">
        <f>Phone!$C$18</f>
        <v>1500</v>
      </c>
    </row>
    <row r="178" spans="1:9" ht="15" customHeight="1" x14ac:dyDescent="0.25">
      <c r="A178" s="2" t="s">
        <v>1376</v>
      </c>
      <c r="B178" s="2" t="s">
        <v>17</v>
      </c>
      <c r="C178" s="3">
        <v>318.93</v>
      </c>
      <c r="D178" s="3">
        <v>0</v>
      </c>
      <c r="E178" s="3">
        <v>0</v>
      </c>
      <c r="F178" s="3">
        <f t="shared" si="11"/>
        <v>0</v>
      </c>
      <c r="G178" s="3">
        <v>2000</v>
      </c>
      <c r="H178" s="5">
        <v>2000</v>
      </c>
    </row>
    <row r="179" spans="1:9" ht="15" customHeight="1" x14ac:dyDescent="0.25">
      <c r="A179" s="2" t="s">
        <v>1377</v>
      </c>
      <c r="B179" s="2" t="s">
        <v>305</v>
      </c>
      <c r="C179" s="3">
        <v>185683.81</v>
      </c>
      <c r="D179" s="3">
        <v>69242.02</v>
      </c>
      <c r="E179" s="3">
        <v>121664.13</v>
      </c>
      <c r="F179" s="3">
        <f t="shared" si="11"/>
        <v>162218.84000000003</v>
      </c>
      <c r="G179" s="3">
        <v>165000</v>
      </c>
      <c r="H179" s="5">
        <f>F179*1.1482</f>
        <v>186259.67208800005</v>
      </c>
    </row>
    <row r="180" spans="1:9" ht="15" customHeight="1" x14ac:dyDescent="0.25">
      <c r="A180" s="2" t="s">
        <v>1378</v>
      </c>
      <c r="B180" s="2" t="s">
        <v>1379</v>
      </c>
      <c r="C180" s="3">
        <v>403.38</v>
      </c>
      <c r="D180" s="3">
        <v>142.12</v>
      </c>
      <c r="E180" s="3">
        <v>284.24</v>
      </c>
      <c r="F180" s="3">
        <f t="shared" si="11"/>
        <v>378.98666666666668</v>
      </c>
      <c r="G180" s="3">
        <v>400</v>
      </c>
      <c r="H180" s="5">
        <v>500</v>
      </c>
    </row>
    <row r="181" spans="1:9" ht="15" customHeight="1" x14ac:dyDescent="0.25">
      <c r="A181" s="2" t="s">
        <v>1380</v>
      </c>
      <c r="B181" s="2" t="s">
        <v>1381</v>
      </c>
      <c r="C181" s="3">
        <v>165.36</v>
      </c>
      <c r="D181" s="3">
        <v>55.12</v>
      </c>
      <c r="E181" s="3">
        <v>110.24</v>
      </c>
      <c r="F181" s="3">
        <f t="shared" si="11"/>
        <v>146.98666666666668</v>
      </c>
      <c r="G181" s="3">
        <v>200</v>
      </c>
      <c r="H181" s="5">
        <f>F181*1.2956</f>
        <v>190.43592533333336</v>
      </c>
    </row>
    <row r="182" spans="1:9" ht="15" customHeight="1" x14ac:dyDescent="0.25">
      <c r="A182" s="2" t="s">
        <v>1382</v>
      </c>
      <c r="B182" s="2" t="s">
        <v>947</v>
      </c>
      <c r="C182" s="3">
        <v>372.98</v>
      </c>
      <c r="D182" s="3">
        <v>151.58000000000001</v>
      </c>
      <c r="E182" s="3">
        <v>271.95999999999998</v>
      </c>
      <c r="F182" s="3">
        <f t="shared" si="11"/>
        <v>362.61333333333334</v>
      </c>
      <c r="G182" s="3">
        <v>1500</v>
      </c>
      <c r="H182" s="5">
        <v>1500</v>
      </c>
    </row>
    <row r="183" spans="1:9" x14ac:dyDescent="0.25">
      <c r="A183" s="2" t="s">
        <v>1383</v>
      </c>
      <c r="B183" s="2" t="s">
        <v>1384</v>
      </c>
      <c r="C183" s="3">
        <v>31310.2</v>
      </c>
      <c r="D183" s="3">
        <v>7180.84</v>
      </c>
      <c r="E183" s="3">
        <v>7180.84</v>
      </c>
      <c r="F183" s="3">
        <f t="shared" si="11"/>
        <v>9574.4533333333329</v>
      </c>
      <c r="G183" s="3">
        <v>12000</v>
      </c>
      <c r="H183" s="5">
        <v>55000</v>
      </c>
      <c r="I183" s="250" t="s">
        <v>3439</v>
      </c>
    </row>
    <row r="184" spans="1:9" ht="15" customHeight="1" x14ac:dyDescent="0.25">
      <c r="A184" s="2" t="s">
        <v>1385</v>
      </c>
      <c r="B184" s="2" t="s">
        <v>64</v>
      </c>
      <c r="C184" s="3">
        <v>2154.66</v>
      </c>
      <c r="D184" s="3">
        <v>995.3</v>
      </c>
      <c r="E184" s="3">
        <v>1345.54</v>
      </c>
      <c r="F184" s="3">
        <f t="shared" si="11"/>
        <v>1794.0533333333333</v>
      </c>
      <c r="G184" s="3">
        <v>2500</v>
      </c>
      <c r="H184" s="5">
        <v>2500</v>
      </c>
    </row>
    <row r="185" spans="1:9" ht="15" customHeight="1" x14ac:dyDescent="0.25">
      <c r="A185" s="2" t="s">
        <v>1386</v>
      </c>
      <c r="B185" s="2" t="s">
        <v>624</v>
      </c>
      <c r="C185" s="3">
        <v>851.7</v>
      </c>
      <c r="D185" s="3">
        <v>441.86</v>
      </c>
      <c r="E185" s="3">
        <v>441.86</v>
      </c>
      <c r="F185" s="3">
        <f t="shared" si="11"/>
        <v>589.14666666666665</v>
      </c>
      <c r="G185" s="3">
        <v>2000</v>
      </c>
      <c r="H185" s="5">
        <v>3500</v>
      </c>
      <c r="I185" s="254" t="s">
        <v>3440</v>
      </c>
    </row>
    <row r="186" spans="1:9" ht="15" customHeight="1" x14ac:dyDescent="0.25">
      <c r="A186" s="2" t="s">
        <v>1387</v>
      </c>
      <c r="B186" s="2" t="s">
        <v>1388</v>
      </c>
      <c r="C186" s="3">
        <v>1972.8</v>
      </c>
      <c r="D186" s="3">
        <v>79</v>
      </c>
      <c r="E186" s="3">
        <v>589</v>
      </c>
      <c r="F186" s="3">
        <f t="shared" si="11"/>
        <v>785.33333333333326</v>
      </c>
      <c r="G186" s="3">
        <v>2500</v>
      </c>
      <c r="H186" s="5">
        <v>3000</v>
      </c>
    </row>
    <row r="187" spans="1:9" ht="15" customHeight="1" x14ac:dyDescent="0.25">
      <c r="A187" s="2" t="s">
        <v>1389</v>
      </c>
      <c r="B187" s="2" t="s">
        <v>1390</v>
      </c>
      <c r="C187" s="3">
        <v>9607.2000000000007</v>
      </c>
      <c r="D187" s="3">
        <v>7553.29</v>
      </c>
      <c r="E187" s="3">
        <v>7553.29</v>
      </c>
      <c r="F187" s="3">
        <f t="shared" si="11"/>
        <v>10071.053333333333</v>
      </c>
      <c r="G187" s="3">
        <v>8000</v>
      </c>
      <c r="H187" s="5">
        <v>10000</v>
      </c>
    </row>
    <row r="188" spans="1:9" ht="15" customHeight="1" x14ac:dyDescent="0.25">
      <c r="A188" s="1" t="s">
        <v>1391</v>
      </c>
      <c r="B188" s="1" t="s">
        <v>2</v>
      </c>
      <c r="C188" s="4">
        <v>793795.17</v>
      </c>
      <c r="D188" s="4">
        <v>350704.89</v>
      </c>
      <c r="E188" s="4">
        <f>SUM(E153:E187)</f>
        <v>587884.03</v>
      </c>
      <c r="F188" s="4">
        <f>SUM(F153:F187)</f>
        <v>783845.37333333329</v>
      </c>
      <c r="G188" s="6">
        <f>SUM(G153:G187)</f>
        <v>1007564.96</v>
      </c>
      <c r="H188" s="6">
        <f>SUM(H153:H187)</f>
        <v>1159025.8820799999</v>
      </c>
    </row>
    <row r="189" spans="1:9" x14ac:dyDescent="0.25">
      <c r="A189" s="2" t="s">
        <v>2</v>
      </c>
      <c r="B189" s="2" t="s">
        <v>2</v>
      </c>
      <c r="C189" s="2" t="s">
        <v>2</v>
      </c>
      <c r="D189" s="2" t="s">
        <v>2</v>
      </c>
      <c r="E189" s="2"/>
      <c r="F189" s="2"/>
      <c r="G189" s="2" t="s">
        <v>2</v>
      </c>
      <c r="H189" s="2" t="s">
        <v>2</v>
      </c>
    </row>
    <row r="190" spans="1:9" ht="15" customHeight="1" x14ac:dyDescent="0.25">
      <c r="A190" s="2" t="s">
        <v>1392</v>
      </c>
      <c r="B190" s="2" t="s">
        <v>1393</v>
      </c>
      <c r="C190" s="3">
        <v>0</v>
      </c>
      <c r="D190" s="3">
        <v>0</v>
      </c>
      <c r="E190" s="3">
        <v>0</v>
      </c>
      <c r="F190" s="3">
        <f>E190/9*12</f>
        <v>0</v>
      </c>
      <c r="G190" s="3">
        <v>0</v>
      </c>
      <c r="H190" s="5">
        <v>0</v>
      </c>
    </row>
    <row r="191" spans="1:9" ht="15" customHeight="1" x14ac:dyDescent="0.25">
      <c r="A191" s="2"/>
      <c r="B191" s="2"/>
      <c r="C191" s="3"/>
      <c r="D191" s="3"/>
      <c r="E191" s="3"/>
      <c r="F191" s="3"/>
      <c r="G191" s="3"/>
      <c r="H191" s="5"/>
    </row>
    <row r="192" spans="1:9" ht="15" customHeight="1" x14ac:dyDescent="0.25">
      <c r="A192" s="1" t="s">
        <v>557</v>
      </c>
      <c r="B192" s="1" t="s">
        <v>2</v>
      </c>
    </row>
    <row r="193" spans="1:9" x14ac:dyDescent="0.25">
      <c r="A193" s="2" t="s">
        <v>1394</v>
      </c>
      <c r="B193" s="2" t="s">
        <v>1395</v>
      </c>
      <c r="C193" s="3">
        <v>90.53</v>
      </c>
      <c r="D193" s="3">
        <v>0</v>
      </c>
      <c r="E193" s="3">
        <v>0</v>
      </c>
      <c r="F193" s="3">
        <f t="shared" ref="F193:F215" si="14">E193/9*12</f>
        <v>0</v>
      </c>
      <c r="G193" s="3">
        <v>0</v>
      </c>
      <c r="H193" s="5">
        <v>0</v>
      </c>
    </row>
    <row r="194" spans="1:9" x14ac:dyDescent="0.25">
      <c r="A194" s="2" t="s">
        <v>1396</v>
      </c>
      <c r="B194" s="2" t="s">
        <v>1397</v>
      </c>
      <c r="C194" s="3">
        <v>270</v>
      </c>
      <c r="D194" s="3">
        <v>2693</v>
      </c>
      <c r="E194" s="3">
        <v>13395.88</v>
      </c>
      <c r="F194" s="3">
        <f t="shared" si="14"/>
        <v>17861.173333333332</v>
      </c>
      <c r="G194" s="3">
        <v>450000</v>
      </c>
      <c r="H194" s="302">
        <v>800000</v>
      </c>
      <c r="I194" s="298"/>
    </row>
    <row r="195" spans="1:9" x14ac:dyDescent="0.25">
      <c r="A195" s="2" t="s">
        <v>1398</v>
      </c>
      <c r="B195" s="2" t="s">
        <v>1399</v>
      </c>
      <c r="C195" s="3">
        <v>0</v>
      </c>
      <c r="D195" s="3">
        <v>0</v>
      </c>
      <c r="E195" s="3">
        <v>0</v>
      </c>
      <c r="F195" s="3">
        <f t="shared" si="14"/>
        <v>0</v>
      </c>
      <c r="G195" s="3">
        <v>0</v>
      </c>
      <c r="H195" s="5">
        <v>0</v>
      </c>
    </row>
    <row r="196" spans="1:9" ht="15" customHeight="1" x14ac:dyDescent="0.25">
      <c r="A196" s="2" t="s">
        <v>1400</v>
      </c>
      <c r="B196" s="2" t="s">
        <v>850</v>
      </c>
      <c r="C196" s="3">
        <v>0</v>
      </c>
      <c r="D196" s="3">
        <v>0</v>
      </c>
      <c r="E196" s="3">
        <v>0</v>
      </c>
      <c r="F196" s="3">
        <f t="shared" si="14"/>
        <v>0</v>
      </c>
      <c r="G196" s="3">
        <v>0</v>
      </c>
      <c r="H196" s="5">
        <v>0</v>
      </c>
    </row>
    <row r="197" spans="1:9" ht="15" customHeight="1" x14ac:dyDescent="0.25">
      <c r="A197" s="2" t="s">
        <v>1401</v>
      </c>
      <c r="B197" s="2" t="s">
        <v>1402</v>
      </c>
      <c r="C197" s="3">
        <v>0</v>
      </c>
      <c r="D197" s="3">
        <v>0</v>
      </c>
      <c r="E197" s="3">
        <v>0</v>
      </c>
      <c r="F197" s="3">
        <f t="shared" si="14"/>
        <v>0</v>
      </c>
      <c r="G197" s="3">
        <v>0</v>
      </c>
      <c r="H197" s="5">
        <v>0</v>
      </c>
    </row>
    <row r="198" spans="1:9" ht="15" customHeight="1" x14ac:dyDescent="0.25">
      <c r="A198" s="2" t="s">
        <v>1403</v>
      </c>
      <c r="B198" s="2" t="s">
        <v>1404</v>
      </c>
      <c r="C198" s="3">
        <v>0</v>
      </c>
      <c r="D198" s="3">
        <v>0</v>
      </c>
      <c r="E198" s="3">
        <v>0</v>
      </c>
      <c r="F198" s="3">
        <f t="shared" si="14"/>
        <v>0</v>
      </c>
      <c r="G198" s="3">
        <v>0</v>
      </c>
      <c r="H198" s="5">
        <v>25000</v>
      </c>
    </row>
    <row r="199" spans="1:9" x14ac:dyDescent="0.25">
      <c r="A199" s="2" t="s">
        <v>1405</v>
      </c>
      <c r="B199" s="2" t="s">
        <v>1406</v>
      </c>
      <c r="C199" s="3">
        <v>0</v>
      </c>
      <c r="D199" s="3">
        <v>0</v>
      </c>
      <c r="E199" s="3">
        <v>0</v>
      </c>
      <c r="F199" s="3">
        <f t="shared" si="14"/>
        <v>0</v>
      </c>
      <c r="G199" s="3">
        <v>0</v>
      </c>
      <c r="H199" s="5">
        <v>0</v>
      </c>
    </row>
    <row r="200" spans="1:9" ht="15" customHeight="1" x14ac:dyDescent="0.25">
      <c r="A200" s="2" t="s">
        <v>1407</v>
      </c>
      <c r="B200" s="2" t="s">
        <v>1408</v>
      </c>
      <c r="C200" s="3">
        <v>0</v>
      </c>
      <c r="D200" s="3">
        <v>0</v>
      </c>
      <c r="E200" s="3">
        <v>0</v>
      </c>
      <c r="F200" s="3">
        <f t="shared" si="14"/>
        <v>0</v>
      </c>
      <c r="G200" s="3">
        <v>0</v>
      </c>
      <c r="H200" s="5">
        <v>0</v>
      </c>
    </row>
    <row r="201" spans="1:9" ht="15" customHeight="1" x14ac:dyDescent="0.25">
      <c r="A201" s="2" t="s">
        <v>1409</v>
      </c>
      <c r="B201" s="2" t="s">
        <v>1410</v>
      </c>
      <c r="C201" s="3">
        <v>0</v>
      </c>
      <c r="D201" s="3">
        <v>0</v>
      </c>
      <c r="E201" s="3">
        <v>0</v>
      </c>
      <c r="F201" s="3">
        <f t="shared" si="14"/>
        <v>0</v>
      </c>
      <c r="G201" s="3">
        <v>0</v>
      </c>
      <c r="H201" s="5">
        <v>0</v>
      </c>
    </row>
    <row r="202" spans="1:9" ht="15" customHeight="1" x14ac:dyDescent="0.25">
      <c r="A202" s="2" t="s">
        <v>1411</v>
      </c>
      <c r="B202" s="2" t="s">
        <v>1412</v>
      </c>
      <c r="C202" s="3">
        <v>0</v>
      </c>
      <c r="D202" s="3">
        <v>300.27</v>
      </c>
      <c r="E202" s="3">
        <v>300.27</v>
      </c>
      <c r="F202" s="3">
        <f t="shared" si="14"/>
        <v>400.35999999999996</v>
      </c>
      <c r="G202" s="3">
        <v>75000</v>
      </c>
      <c r="H202" s="5">
        <v>75000</v>
      </c>
    </row>
    <row r="203" spans="1:9" ht="15" customHeight="1" x14ac:dyDescent="0.25">
      <c r="A203" s="2" t="s">
        <v>1413</v>
      </c>
      <c r="B203" s="2" t="s">
        <v>1414</v>
      </c>
      <c r="C203" s="3">
        <v>0</v>
      </c>
      <c r="D203" s="3">
        <v>7333</v>
      </c>
      <c r="E203" s="3">
        <v>7333</v>
      </c>
      <c r="F203" s="3">
        <f t="shared" si="14"/>
        <v>9777.3333333333339</v>
      </c>
      <c r="G203" s="3">
        <v>0</v>
      </c>
      <c r="H203" s="5">
        <v>0</v>
      </c>
    </row>
    <row r="204" spans="1:9" ht="15" customHeight="1" x14ac:dyDescent="0.25">
      <c r="A204" s="2" t="s">
        <v>1415</v>
      </c>
      <c r="B204" s="2" t="s">
        <v>1416</v>
      </c>
      <c r="C204" s="3">
        <v>0</v>
      </c>
      <c r="D204" s="3">
        <v>0</v>
      </c>
      <c r="E204" s="3">
        <v>0</v>
      </c>
      <c r="F204" s="3">
        <f t="shared" si="14"/>
        <v>0</v>
      </c>
      <c r="G204" s="3">
        <v>0</v>
      </c>
      <c r="H204" s="5">
        <v>750000</v>
      </c>
    </row>
    <row r="205" spans="1:9" ht="15" customHeight="1" x14ac:dyDescent="0.25">
      <c r="A205" s="2" t="s">
        <v>1417</v>
      </c>
      <c r="B205" s="2" t="s">
        <v>1418</v>
      </c>
      <c r="C205" s="3">
        <v>0</v>
      </c>
      <c r="D205" s="3">
        <v>0</v>
      </c>
      <c r="E205" s="3">
        <v>106816.59</v>
      </c>
      <c r="F205" s="3">
        <f t="shared" si="14"/>
        <v>142422.12</v>
      </c>
      <c r="G205" s="3">
        <v>50000</v>
      </c>
      <c r="H205" s="5">
        <v>100000</v>
      </c>
    </row>
    <row r="206" spans="1:9" ht="15" customHeight="1" x14ac:dyDescent="0.25">
      <c r="A206" s="2" t="s">
        <v>1419</v>
      </c>
      <c r="B206" s="2" t="s">
        <v>1420</v>
      </c>
      <c r="C206" s="3">
        <v>0</v>
      </c>
      <c r="D206" s="3">
        <v>0</v>
      </c>
      <c r="E206" s="3">
        <v>0</v>
      </c>
      <c r="F206" s="3">
        <f t="shared" si="14"/>
        <v>0</v>
      </c>
      <c r="G206" s="3">
        <v>0</v>
      </c>
      <c r="H206" s="5">
        <v>0</v>
      </c>
    </row>
    <row r="207" spans="1:9" ht="15" customHeight="1" x14ac:dyDescent="0.25">
      <c r="A207" s="2" t="s">
        <v>1421</v>
      </c>
      <c r="B207" s="2" t="s">
        <v>1422</v>
      </c>
      <c r="C207" s="3">
        <v>0</v>
      </c>
      <c r="D207" s="3">
        <v>0</v>
      </c>
      <c r="E207" s="3">
        <v>0</v>
      </c>
      <c r="F207" s="3">
        <f t="shared" si="14"/>
        <v>0</v>
      </c>
      <c r="G207" s="3">
        <v>0</v>
      </c>
      <c r="H207" s="5">
        <v>0</v>
      </c>
    </row>
    <row r="208" spans="1:9" ht="15" customHeight="1" x14ac:dyDescent="0.25">
      <c r="A208" s="2" t="s">
        <v>1423</v>
      </c>
      <c r="B208" s="2" t="s">
        <v>1424</v>
      </c>
      <c r="C208" s="3">
        <v>495.63</v>
      </c>
      <c r="D208" s="3">
        <v>0</v>
      </c>
      <c r="E208" s="3">
        <v>0</v>
      </c>
      <c r="F208" s="3">
        <f t="shared" si="14"/>
        <v>0</v>
      </c>
      <c r="G208" s="3">
        <v>0</v>
      </c>
      <c r="H208" s="5">
        <v>0</v>
      </c>
    </row>
    <row r="209" spans="1:9" ht="15" customHeight="1" x14ac:dyDescent="0.25">
      <c r="A209" s="2" t="s">
        <v>1425</v>
      </c>
      <c r="B209" s="2" t="s">
        <v>1426</v>
      </c>
      <c r="C209" s="3">
        <v>0</v>
      </c>
      <c r="D209" s="3">
        <v>0</v>
      </c>
      <c r="E209" s="3">
        <v>0</v>
      </c>
      <c r="F209" s="3">
        <f t="shared" si="14"/>
        <v>0</v>
      </c>
      <c r="G209" s="3">
        <v>0</v>
      </c>
      <c r="H209" s="5">
        <v>0</v>
      </c>
    </row>
    <row r="210" spans="1:9" ht="15" customHeight="1" x14ac:dyDescent="0.25">
      <c r="A210" s="2" t="s">
        <v>1427</v>
      </c>
      <c r="B210" s="2" t="s">
        <v>1428</v>
      </c>
      <c r="C210" s="3">
        <v>41556.53</v>
      </c>
      <c r="D210" s="3">
        <v>64933</v>
      </c>
      <c r="E210" s="3">
        <v>96246.16</v>
      </c>
      <c r="F210" s="3">
        <f t="shared" si="14"/>
        <v>128328.21333333335</v>
      </c>
      <c r="G210" s="3">
        <v>0</v>
      </c>
      <c r="H210" s="5">
        <v>0</v>
      </c>
    </row>
    <row r="211" spans="1:9" ht="15" customHeight="1" x14ac:dyDescent="0.25">
      <c r="A211" s="2" t="s">
        <v>1429</v>
      </c>
      <c r="B211" s="2" t="s">
        <v>1430</v>
      </c>
      <c r="C211" s="3">
        <v>61292.27</v>
      </c>
      <c r="D211" s="3">
        <v>0</v>
      </c>
      <c r="E211" s="3">
        <v>0</v>
      </c>
      <c r="F211" s="3">
        <f t="shared" si="14"/>
        <v>0</v>
      </c>
      <c r="G211" s="3">
        <v>0</v>
      </c>
      <c r="H211" s="5">
        <v>0</v>
      </c>
    </row>
    <row r="212" spans="1:9" ht="15" customHeight="1" x14ac:dyDescent="0.25">
      <c r="A212" s="2" t="s">
        <v>1431</v>
      </c>
      <c r="B212" s="2" t="s">
        <v>1432</v>
      </c>
      <c r="C212" s="3">
        <v>0</v>
      </c>
      <c r="D212" s="3">
        <v>0</v>
      </c>
      <c r="E212" s="3">
        <v>0</v>
      </c>
      <c r="F212" s="3">
        <f t="shared" si="14"/>
        <v>0</v>
      </c>
      <c r="G212" s="3">
        <v>0</v>
      </c>
      <c r="H212" s="5">
        <v>0</v>
      </c>
    </row>
    <row r="213" spans="1:9" ht="15" customHeight="1" x14ac:dyDescent="0.25">
      <c r="A213" s="2" t="s">
        <v>1433</v>
      </c>
      <c r="B213" s="2" t="s">
        <v>1434</v>
      </c>
      <c r="C213" s="3">
        <v>24600.38</v>
      </c>
      <c r="D213" s="3">
        <v>12703.34</v>
      </c>
      <c r="E213" s="3">
        <v>16929.77</v>
      </c>
      <c r="F213" s="3">
        <f t="shared" si="14"/>
        <v>22573.026666666668</v>
      </c>
      <c r="G213" s="3">
        <v>750000</v>
      </c>
      <c r="H213" s="5">
        <v>800000</v>
      </c>
    </row>
    <row r="214" spans="1:9" ht="15" customHeight="1" x14ac:dyDescent="0.25">
      <c r="A214" s="2" t="s">
        <v>1435</v>
      </c>
      <c r="B214" s="2" t="s">
        <v>1436</v>
      </c>
      <c r="C214" s="3">
        <v>766.26</v>
      </c>
      <c r="D214" s="3">
        <v>850.09</v>
      </c>
      <c r="E214" s="3">
        <v>1057.04</v>
      </c>
      <c r="F214" s="3">
        <f t="shared" si="14"/>
        <v>1409.3866666666668</v>
      </c>
      <c r="G214" s="3">
        <v>0</v>
      </c>
      <c r="H214" s="5">
        <v>0</v>
      </c>
    </row>
    <row r="215" spans="1:9" ht="15" customHeight="1" x14ac:dyDescent="0.25">
      <c r="A215" s="2" t="s">
        <v>1437</v>
      </c>
      <c r="B215" s="2" t="s">
        <v>1438</v>
      </c>
      <c r="C215" s="3">
        <v>0</v>
      </c>
      <c r="D215" s="3">
        <v>12271.25</v>
      </c>
      <c r="E215" s="3">
        <v>13223.05</v>
      </c>
      <c r="F215" s="3">
        <f t="shared" si="14"/>
        <v>17630.73333333333</v>
      </c>
      <c r="G215" s="3">
        <v>1250000</v>
      </c>
      <c r="H215" s="5">
        <v>1232000</v>
      </c>
    </row>
    <row r="216" spans="1:9" ht="15" customHeight="1" x14ac:dyDescent="0.25">
      <c r="A216" s="1" t="s">
        <v>560</v>
      </c>
      <c r="B216" s="1" t="s">
        <v>2</v>
      </c>
      <c r="C216" s="4">
        <v>129071.6</v>
      </c>
      <c r="D216" s="4">
        <v>101083.95</v>
      </c>
      <c r="E216" s="4">
        <f>SUM(E193:E215)</f>
        <v>255301.75999999998</v>
      </c>
      <c r="F216" s="4">
        <f>SUM(F193:F215)</f>
        <v>340402.34666666668</v>
      </c>
      <c r="G216" s="6">
        <f>SUM(G193:G215)</f>
        <v>2575000</v>
      </c>
      <c r="H216" s="6">
        <f>SUM(H193:H215)</f>
        <v>3782000</v>
      </c>
    </row>
    <row r="217" spans="1:9" x14ac:dyDescent="0.25">
      <c r="A217" s="1" t="s">
        <v>2</v>
      </c>
      <c r="B217" s="1" t="s">
        <v>2</v>
      </c>
      <c r="C217" s="1" t="s">
        <v>2</v>
      </c>
      <c r="D217" s="1" t="s">
        <v>2</v>
      </c>
      <c r="E217" s="1"/>
      <c r="F217" s="1"/>
      <c r="G217" s="1" t="s">
        <v>2</v>
      </c>
      <c r="H217" s="1" t="s">
        <v>2</v>
      </c>
    </row>
    <row r="218" spans="1:9" ht="15" customHeight="1" x14ac:dyDescent="0.25">
      <c r="A218" s="1" t="s">
        <v>706</v>
      </c>
      <c r="B218" s="1" t="s">
        <v>2</v>
      </c>
    </row>
    <row r="219" spans="1:9" x14ac:dyDescent="0.25">
      <c r="A219" s="109" t="s">
        <v>1439</v>
      </c>
      <c r="B219" s="109" t="s">
        <v>1440</v>
      </c>
      <c r="C219" s="110">
        <v>373517.74</v>
      </c>
      <c r="D219" s="110">
        <v>0</v>
      </c>
      <c r="E219" s="110">
        <v>40614</v>
      </c>
      <c r="F219" s="110">
        <f>G219</f>
        <v>373548</v>
      </c>
      <c r="G219" s="110">
        <v>373548</v>
      </c>
      <c r="H219" s="110">
        <f>Transfers!$C$62</f>
        <v>425000</v>
      </c>
      <c r="I219" s="253"/>
    </row>
    <row r="220" spans="1:9" ht="15" customHeight="1" x14ac:dyDescent="0.25">
      <c r="A220" s="109" t="s">
        <v>1441</v>
      </c>
      <c r="B220" s="109" t="s">
        <v>1023</v>
      </c>
      <c r="C220" s="110">
        <v>0</v>
      </c>
      <c r="D220" s="110">
        <v>0</v>
      </c>
      <c r="E220" s="110">
        <v>0</v>
      </c>
      <c r="F220" s="110">
        <v>0</v>
      </c>
      <c r="G220" s="110">
        <v>20000</v>
      </c>
      <c r="H220" s="110">
        <f>Transfers!$C$118</f>
        <v>20000</v>
      </c>
      <c r="I220" s="253"/>
    </row>
    <row r="221" spans="1:9" ht="15" customHeight="1" x14ac:dyDescent="0.25">
      <c r="A221" s="109" t="s">
        <v>1442</v>
      </c>
      <c r="B221" s="109" t="s">
        <v>1027</v>
      </c>
      <c r="C221" s="110">
        <v>0</v>
      </c>
      <c r="D221" s="110">
        <v>0</v>
      </c>
      <c r="E221" s="110">
        <v>0</v>
      </c>
      <c r="F221" s="110">
        <v>0</v>
      </c>
      <c r="G221" s="110">
        <v>10000</v>
      </c>
      <c r="H221" s="110">
        <f>Transfers!$C$119</f>
        <v>10000</v>
      </c>
      <c r="I221" s="253"/>
    </row>
    <row r="222" spans="1:9" ht="15" customHeight="1" x14ac:dyDescent="0.25">
      <c r="A222" s="109" t="s">
        <v>1443</v>
      </c>
      <c r="B222" s="109" t="s">
        <v>1029</v>
      </c>
      <c r="C222" s="110">
        <v>0</v>
      </c>
      <c r="D222" s="110">
        <v>0</v>
      </c>
      <c r="E222" s="110">
        <v>0</v>
      </c>
      <c r="F222" s="110">
        <v>0</v>
      </c>
      <c r="G222" s="110">
        <v>20000</v>
      </c>
      <c r="H222" s="110">
        <f>Transfers!$C$120</f>
        <v>20000</v>
      </c>
      <c r="I222" s="253"/>
    </row>
    <row r="223" spans="1:9" ht="15" customHeight="1" x14ac:dyDescent="0.25">
      <c r="A223" s="109" t="s">
        <v>1444</v>
      </c>
      <c r="B223" s="109" t="s">
        <v>1031</v>
      </c>
      <c r="C223" s="110">
        <v>0</v>
      </c>
      <c r="D223" s="110">
        <v>0</v>
      </c>
      <c r="E223" s="110">
        <v>0</v>
      </c>
      <c r="F223" s="110">
        <v>0</v>
      </c>
      <c r="G223" s="110">
        <v>12500</v>
      </c>
      <c r="H223" s="110">
        <f>Transfers!$C$121</f>
        <v>12500</v>
      </c>
      <c r="I223" s="253"/>
    </row>
    <row r="224" spans="1:9" ht="15" customHeight="1" x14ac:dyDescent="0.25">
      <c r="A224" s="109" t="s">
        <v>1445</v>
      </c>
      <c r="B224" s="109" t="s">
        <v>1033</v>
      </c>
      <c r="C224" s="110">
        <v>0</v>
      </c>
      <c r="D224" s="110">
        <v>0</v>
      </c>
      <c r="E224" s="110">
        <v>0</v>
      </c>
      <c r="F224" s="110">
        <v>0</v>
      </c>
      <c r="G224" s="110">
        <v>47500</v>
      </c>
      <c r="H224" s="110">
        <f>Transfers!$C$122</f>
        <v>0</v>
      </c>
      <c r="I224" s="253"/>
    </row>
    <row r="225" spans="1:9" x14ac:dyDescent="0.25">
      <c r="A225" s="109" t="s">
        <v>1446</v>
      </c>
      <c r="B225" s="109" t="s">
        <v>1035</v>
      </c>
      <c r="C225" s="110">
        <v>0</v>
      </c>
      <c r="D225" s="110">
        <v>0</v>
      </c>
      <c r="E225" s="110">
        <v>0</v>
      </c>
      <c r="F225" s="110">
        <v>0</v>
      </c>
      <c r="G225" s="110">
        <v>2500</v>
      </c>
      <c r="H225" s="110">
        <f>Transfers!$C$123</f>
        <v>2500</v>
      </c>
      <c r="I225" s="253"/>
    </row>
    <row r="226" spans="1:9" ht="15" customHeight="1" x14ac:dyDescent="0.25">
      <c r="A226" s="109" t="s">
        <v>1447</v>
      </c>
      <c r="B226" s="109" t="s">
        <v>1037</v>
      </c>
      <c r="C226" s="110">
        <v>0</v>
      </c>
      <c r="D226" s="110">
        <v>0</v>
      </c>
      <c r="E226" s="110">
        <v>0</v>
      </c>
      <c r="F226" s="110">
        <v>0</v>
      </c>
      <c r="G226" s="110">
        <v>1750</v>
      </c>
      <c r="H226" s="110">
        <f>Transfers!$C$124</f>
        <v>1750</v>
      </c>
      <c r="I226" s="253"/>
    </row>
    <row r="227" spans="1:9" ht="15" customHeight="1" x14ac:dyDescent="0.25">
      <c r="A227" s="109" t="s">
        <v>1448</v>
      </c>
      <c r="B227" s="109" t="s">
        <v>1007</v>
      </c>
      <c r="C227" s="110">
        <v>0</v>
      </c>
      <c r="D227" s="110">
        <v>0</v>
      </c>
      <c r="E227" s="110">
        <v>0</v>
      </c>
      <c r="F227" s="110">
        <v>0</v>
      </c>
      <c r="G227" s="110">
        <v>0</v>
      </c>
      <c r="H227" s="110">
        <f>Transfers!$C$125</f>
        <v>0</v>
      </c>
      <c r="I227" s="253"/>
    </row>
    <row r="228" spans="1:9" x14ac:dyDescent="0.25">
      <c r="A228" s="109" t="s">
        <v>1449</v>
      </c>
      <c r="B228" s="109" t="s">
        <v>1009</v>
      </c>
      <c r="C228" s="110">
        <v>23850.65</v>
      </c>
      <c r="D228" s="110">
        <v>0</v>
      </c>
      <c r="E228" s="110">
        <v>0</v>
      </c>
      <c r="F228" s="110">
        <v>0</v>
      </c>
      <c r="G228" s="110">
        <v>0</v>
      </c>
      <c r="H228" s="110">
        <f>Transfers!$C$126</f>
        <v>0</v>
      </c>
      <c r="I228" s="253"/>
    </row>
    <row r="229" spans="1:9" x14ac:dyDescent="0.25">
      <c r="A229" s="109" t="s">
        <v>1450</v>
      </c>
      <c r="B229" s="109" t="s">
        <v>1011</v>
      </c>
      <c r="C229" s="110">
        <v>0</v>
      </c>
      <c r="D229" s="110">
        <v>0</v>
      </c>
      <c r="E229" s="110">
        <v>0</v>
      </c>
      <c r="F229" s="110">
        <v>0</v>
      </c>
      <c r="G229" s="110">
        <v>0</v>
      </c>
      <c r="H229" s="110">
        <f>Transfers!$C$127</f>
        <v>0</v>
      </c>
      <c r="I229" s="253"/>
    </row>
    <row r="230" spans="1:9" ht="15" customHeight="1" x14ac:dyDescent="0.25">
      <c r="A230" s="109" t="s">
        <v>1451</v>
      </c>
      <c r="B230" s="109" t="s">
        <v>1013</v>
      </c>
      <c r="C230" s="110">
        <v>35286.080000000002</v>
      </c>
      <c r="D230" s="110">
        <v>0</v>
      </c>
      <c r="E230" s="110">
        <v>0</v>
      </c>
      <c r="F230" s="110">
        <v>0</v>
      </c>
      <c r="G230" s="110">
        <v>0</v>
      </c>
      <c r="H230" s="110">
        <f>Transfers!$C$128</f>
        <v>0</v>
      </c>
      <c r="I230" s="253"/>
    </row>
    <row r="231" spans="1:9" ht="15" customHeight="1" x14ac:dyDescent="0.25">
      <c r="A231" s="109" t="s">
        <v>1452</v>
      </c>
      <c r="B231" s="109" t="s">
        <v>1015</v>
      </c>
      <c r="C231" s="110">
        <v>8581.1200000000008</v>
      </c>
      <c r="D231" s="110">
        <v>0</v>
      </c>
      <c r="E231" s="110">
        <v>0</v>
      </c>
      <c r="F231" s="110">
        <v>0</v>
      </c>
      <c r="G231" s="110">
        <v>0</v>
      </c>
      <c r="H231" s="110">
        <f>Transfers!$C$129</f>
        <v>0</v>
      </c>
      <c r="I231" s="253"/>
    </row>
    <row r="232" spans="1:9" ht="15" customHeight="1" x14ac:dyDescent="0.25">
      <c r="A232" s="109" t="s">
        <v>1453</v>
      </c>
      <c r="B232" s="109" t="s">
        <v>1017</v>
      </c>
      <c r="C232" s="110">
        <v>0</v>
      </c>
      <c r="D232" s="110">
        <v>0</v>
      </c>
      <c r="E232" s="110">
        <v>0</v>
      </c>
      <c r="F232" s="110">
        <v>0</v>
      </c>
      <c r="G232" s="110">
        <v>0</v>
      </c>
      <c r="H232" s="110">
        <f>Transfers!$C$130</f>
        <v>0</v>
      </c>
      <c r="I232" s="253"/>
    </row>
    <row r="233" spans="1:9" ht="15" customHeight="1" x14ac:dyDescent="0.25">
      <c r="A233" s="109" t="s">
        <v>1454</v>
      </c>
      <c r="B233" s="109" t="s">
        <v>1455</v>
      </c>
      <c r="C233" s="110">
        <v>0</v>
      </c>
      <c r="D233" s="110">
        <v>0</v>
      </c>
      <c r="E233" s="110">
        <v>0</v>
      </c>
      <c r="F233" s="110">
        <v>0</v>
      </c>
      <c r="G233" s="110">
        <v>0</v>
      </c>
      <c r="H233" s="110">
        <f>Transfers!$C$76</f>
        <v>0</v>
      </c>
      <c r="I233" s="253"/>
    </row>
    <row r="234" spans="1:9" ht="15" customHeight="1" x14ac:dyDescent="0.25">
      <c r="A234" s="109" t="s">
        <v>1456</v>
      </c>
      <c r="B234" s="109" t="s">
        <v>1457</v>
      </c>
      <c r="C234" s="110">
        <v>74500</v>
      </c>
      <c r="D234" s="110">
        <v>0</v>
      </c>
      <c r="E234" s="110">
        <v>71625</v>
      </c>
      <c r="F234" s="110">
        <f>G234</f>
        <v>81750</v>
      </c>
      <c r="G234" s="110">
        <v>81750</v>
      </c>
      <c r="H234" s="110">
        <f>Transfers!$C$71</f>
        <v>80000</v>
      </c>
      <c r="I234" s="253"/>
    </row>
    <row r="235" spans="1:9" ht="15" customHeight="1" x14ac:dyDescent="0.25">
      <c r="A235" s="109" t="s">
        <v>1458</v>
      </c>
      <c r="B235" s="109" t="s">
        <v>1459</v>
      </c>
      <c r="C235" s="110">
        <v>13329.77</v>
      </c>
      <c r="D235" s="110">
        <v>0</v>
      </c>
      <c r="E235" s="110">
        <v>81056.89</v>
      </c>
      <c r="F235" s="110">
        <f>E235</f>
        <v>81056.89</v>
      </c>
      <c r="G235" s="110">
        <v>10370</v>
      </c>
      <c r="H235" s="110">
        <f>Transfers!$C$72</f>
        <v>10000</v>
      </c>
      <c r="I235" s="253"/>
    </row>
    <row r="236" spans="1:9" x14ac:dyDescent="0.25">
      <c r="A236" s="109" t="s">
        <v>1460</v>
      </c>
      <c r="B236" s="109" t="s">
        <v>1461</v>
      </c>
      <c r="C236" s="110">
        <v>460114.8</v>
      </c>
      <c r="D236" s="110">
        <v>0</v>
      </c>
      <c r="E236" s="110">
        <v>230208</v>
      </c>
      <c r="F236" s="110">
        <f>G236</f>
        <v>460030</v>
      </c>
      <c r="G236" s="110">
        <v>460030</v>
      </c>
      <c r="H236" s="110">
        <f>Transfers!$C$63</f>
        <v>425000</v>
      </c>
      <c r="I236" s="253"/>
    </row>
    <row r="237" spans="1:9" x14ac:dyDescent="0.25">
      <c r="A237" s="109" t="s">
        <v>3570</v>
      </c>
      <c r="B237" s="109" t="s">
        <v>3581</v>
      </c>
      <c r="C237" s="110">
        <v>0</v>
      </c>
      <c r="D237" s="110">
        <v>0</v>
      </c>
      <c r="E237" s="110">
        <v>0</v>
      </c>
      <c r="F237" s="110">
        <v>0</v>
      </c>
      <c r="G237" s="110">
        <v>0</v>
      </c>
      <c r="H237" s="110">
        <f>Transfers!$C$131</f>
        <v>62500</v>
      </c>
      <c r="I237" s="253"/>
    </row>
    <row r="238" spans="1:9" x14ac:dyDescent="0.25">
      <c r="A238" s="109" t="s">
        <v>3570</v>
      </c>
      <c r="B238" s="109" t="s">
        <v>3582</v>
      </c>
      <c r="C238" s="110">
        <v>0</v>
      </c>
      <c r="D238" s="110">
        <v>0</v>
      </c>
      <c r="E238" s="110">
        <v>0</v>
      </c>
      <c r="F238" s="110">
        <v>0</v>
      </c>
      <c r="G238" s="110">
        <v>0</v>
      </c>
      <c r="H238" s="110">
        <f>Transfers!$C$132</f>
        <v>93750</v>
      </c>
      <c r="I238" s="253"/>
    </row>
    <row r="239" spans="1:9" x14ac:dyDescent="0.25">
      <c r="A239" s="109" t="s">
        <v>3570</v>
      </c>
      <c r="B239" s="109" t="s">
        <v>3583</v>
      </c>
      <c r="C239" s="110">
        <v>0</v>
      </c>
      <c r="D239" s="110">
        <v>0</v>
      </c>
      <c r="E239" s="110">
        <v>0</v>
      </c>
      <c r="F239" s="110">
        <v>0</v>
      </c>
      <c r="G239" s="110">
        <v>0</v>
      </c>
      <c r="H239" s="110">
        <f>Transfers!$C$133</f>
        <v>22500</v>
      </c>
      <c r="I239" s="253"/>
    </row>
    <row r="240" spans="1:9" x14ac:dyDescent="0.25">
      <c r="A240" s="109" t="s">
        <v>3570</v>
      </c>
      <c r="B240" s="109" t="s">
        <v>3584</v>
      </c>
      <c r="C240" s="110">
        <v>0</v>
      </c>
      <c r="D240" s="110">
        <v>0</v>
      </c>
      <c r="E240" s="110">
        <v>0</v>
      </c>
      <c r="F240" s="110">
        <v>0</v>
      </c>
      <c r="G240" s="110">
        <v>0</v>
      </c>
      <c r="H240" s="110">
        <f>Transfers!$C$134</f>
        <v>12500</v>
      </c>
      <c r="I240" s="253"/>
    </row>
    <row r="241" spans="1:9" ht="15" customHeight="1" x14ac:dyDescent="0.25">
      <c r="A241" s="1" t="s">
        <v>737</v>
      </c>
      <c r="B241" s="1" t="s">
        <v>2</v>
      </c>
      <c r="C241" s="4">
        <v>989180.16</v>
      </c>
      <c r="D241" s="4">
        <v>0</v>
      </c>
      <c r="E241" s="4">
        <f>SUM(E219:E240)</f>
        <v>423503.89</v>
      </c>
      <c r="F241" s="4">
        <f>SUM(F219:F240)</f>
        <v>996384.89</v>
      </c>
      <c r="G241" s="4">
        <f>SUM(G219:G240)</f>
        <v>1039948</v>
      </c>
      <c r="H241" s="4">
        <f>SUM(H219:H240)</f>
        <v>1198000</v>
      </c>
    </row>
    <row r="242" spans="1:9" x14ac:dyDescent="0.25">
      <c r="A242" s="1" t="s">
        <v>2</v>
      </c>
      <c r="B242" s="1" t="s">
        <v>2</v>
      </c>
      <c r="C242" s="1" t="s">
        <v>2</v>
      </c>
      <c r="D242" s="1" t="s">
        <v>2</v>
      </c>
      <c r="E242" s="1"/>
      <c r="F242" s="1"/>
      <c r="G242" s="1" t="s">
        <v>2</v>
      </c>
      <c r="H242" s="1" t="s">
        <v>2</v>
      </c>
    </row>
    <row r="243" spans="1:9" ht="15" customHeight="1" x14ac:dyDescent="0.25">
      <c r="A243" s="1" t="s">
        <v>698</v>
      </c>
      <c r="B243" s="1" t="s">
        <v>2</v>
      </c>
    </row>
    <row r="244" spans="1:9" ht="15" customHeight="1" x14ac:dyDescent="0.25">
      <c r="A244" s="2" t="s">
        <v>1462</v>
      </c>
      <c r="B244" s="2" t="s">
        <v>700</v>
      </c>
      <c r="C244" s="3">
        <v>743.13</v>
      </c>
      <c r="D244" s="3">
        <v>3206.32</v>
      </c>
      <c r="E244" s="3">
        <v>4121.93</v>
      </c>
      <c r="F244" s="3">
        <f t="shared" ref="F244:F245" si="15">E244/9*12</f>
        <v>5495.9066666666677</v>
      </c>
      <c r="G244" s="3">
        <v>2000</v>
      </c>
      <c r="H244" s="5">
        <v>5000</v>
      </c>
    </row>
    <row r="245" spans="1:9" ht="15" customHeight="1" x14ac:dyDescent="0.25">
      <c r="A245" s="2" t="s">
        <v>1463</v>
      </c>
      <c r="B245" s="2" t="s">
        <v>704</v>
      </c>
      <c r="C245" s="3">
        <v>4088.79</v>
      </c>
      <c r="D245" s="3">
        <v>0</v>
      </c>
      <c r="E245" s="3">
        <v>0</v>
      </c>
      <c r="F245" s="3">
        <f t="shared" si="15"/>
        <v>0</v>
      </c>
      <c r="G245" s="3">
        <v>0</v>
      </c>
      <c r="H245" s="5">
        <v>0</v>
      </c>
    </row>
    <row r="246" spans="1:9" ht="15" customHeight="1" x14ac:dyDescent="0.25">
      <c r="A246" s="1" t="s">
        <v>705</v>
      </c>
      <c r="B246" s="1" t="s">
        <v>2</v>
      </c>
      <c r="C246" s="4">
        <v>4831.92</v>
      </c>
      <c r="D246" s="4">
        <v>3206.32</v>
      </c>
      <c r="E246" s="4">
        <f>E244+E245</f>
        <v>4121.93</v>
      </c>
      <c r="F246" s="4">
        <f>F244+F245</f>
        <v>5495.9066666666677</v>
      </c>
      <c r="G246" s="6">
        <f>SUM(G244:G245)</f>
        <v>2000</v>
      </c>
      <c r="H246" s="6">
        <f>SUM(H244:H245)</f>
        <v>5000</v>
      </c>
    </row>
    <row r="247" spans="1:9" x14ac:dyDescent="0.25">
      <c r="A247" s="1" t="s">
        <v>2</v>
      </c>
      <c r="B247" s="1" t="s">
        <v>2</v>
      </c>
      <c r="C247" s="1" t="s">
        <v>2</v>
      </c>
      <c r="D247" s="1" t="s">
        <v>2</v>
      </c>
      <c r="E247" s="1"/>
      <c r="F247" s="1"/>
      <c r="G247" s="1" t="s">
        <v>2</v>
      </c>
      <c r="H247" s="1" t="s">
        <v>2</v>
      </c>
    </row>
    <row r="248" spans="1:9" ht="15" customHeight="1" x14ac:dyDescent="0.25">
      <c r="A248" s="1" t="s">
        <v>556</v>
      </c>
      <c r="B248" s="1" t="s">
        <v>2</v>
      </c>
    </row>
    <row r="249" spans="1:9" ht="15" customHeight="1" x14ac:dyDescent="0.25">
      <c r="A249" s="1" t="s">
        <v>1153</v>
      </c>
      <c r="B249" s="1" t="s">
        <v>2</v>
      </c>
    </row>
    <row r="250" spans="1:9" x14ac:dyDescent="0.25">
      <c r="A250" s="2" t="s">
        <v>1464</v>
      </c>
      <c r="B250" s="2" t="s">
        <v>1465</v>
      </c>
      <c r="C250" s="3">
        <v>0</v>
      </c>
      <c r="D250" s="3">
        <v>0</v>
      </c>
      <c r="E250" s="3">
        <v>0</v>
      </c>
      <c r="F250" s="3">
        <f>E250/9*12</f>
        <v>0</v>
      </c>
      <c r="G250" s="3">
        <v>0</v>
      </c>
      <c r="H250" s="5">
        <v>0</v>
      </c>
    </row>
    <row r="251" spans="1:9" ht="15" customHeight="1" x14ac:dyDescent="0.25">
      <c r="A251" s="1" t="s">
        <v>1158</v>
      </c>
      <c r="B251" s="1" t="s">
        <v>2</v>
      </c>
      <c r="C251" s="4">
        <v>0</v>
      </c>
      <c r="D251" s="4">
        <v>0</v>
      </c>
      <c r="E251" s="4">
        <f>E250</f>
        <v>0</v>
      </c>
      <c r="F251" s="4">
        <f>F250</f>
        <v>0</v>
      </c>
      <c r="G251" s="6">
        <f>SUM(G250)</f>
        <v>0</v>
      </c>
      <c r="H251" s="6">
        <f>SUM(H250)</f>
        <v>0</v>
      </c>
    </row>
    <row r="252" spans="1:9" x14ac:dyDescent="0.25">
      <c r="A252" s="1" t="s">
        <v>2</v>
      </c>
      <c r="B252" s="1" t="s">
        <v>2</v>
      </c>
      <c r="C252" s="1" t="s">
        <v>2</v>
      </c>
      <c r="D252" s="1" t="s">
        <v>2</v>
      </c>
      <c r="E252" s="1"/>
      <c r="F252" s="1"/>
      <c r="G252" s="1" t="s">
        <v>2</v>
      </c>
      <c r="H252" s="1" t="s">
        <v>2</v>
      </c>
    </row>
    <row r="253" spans="1:9" x14ac:dyDescent="0.25">
      <c r="A253" s="1" t="s">
        <v>1466</v>
      </c>
      <c r="B253" s="1" t="s">
        <v>2</v>
      </c>
      <c r="C253" s="4">
        <v>3489754.88</v>
      </c>
      <c r="D253" s="4">
        <v>1175525.1200000001</v>
      </c>
      <c r="E253" s="4">
        <f>E123+E150+E188+E190+E216+E241+E246+E251</f>
        <v>2392561.1800000002</v>
      </c>
      <c r="F253" s="4">
        <f>F123+F150+F188+F190+F216+F241+F246+F251</f>
        <v>3621794.6100000003</v>
      </c>
      <c r="G253" s="6">
        <f>G251+G246+G241+G216+G190+G188+G150+G123</f>
        <v>6129015.2899999991</v>
      </c>
      <c r="H253" s="6">
        <f>H251+H246+H241+H216+H190+H188+H150+H123</f>
        <v>7614064.8366414728</v>
      </c>
    </row>
    <row r="254" spans="1:9" ht="15" customHeight="1" x14ac:dyDescent="0.25">
      <c r="A254" s="291" t="s">
        <v>2967</v>
      </c>
      <c r="B254" s="291"/>
      <c r="C254" s="294">
        <f t="shared" ref="C254:H254" si="16">C7+C91-C253</f>
        <v>4441881.0599999996</v>
      </c>
      <c r="D254" s="294">
        <f t="shared" si="16"/>
        <v>5433836.4799999995</v>
      </c>
      <c r="E254" s="294">
        <f t="shared" si="16"/>
        <v>5920877.4900000002</v>
      </c>
      <c r="F254" s="294">
        <f t="shared" si="16"/>
        <v>6607163.2633333346</v>
      </c>
      <c r="G254" s="294">
        <f t="shared" si="16"/>
        <v>3375433.7699999996</v>
      </c>
      <c r="H254" s="294">
        <f t="shared" si="16"/>
        <v>4788755.5596918622</v>
      </c>
      <c r="I254" s="291"/>
    </row>
    <row r="255" spans="1:9" x14ac:dyDescent="0.25">
      <c r="A255" s="1" t="s">
        <v>2</v>
      </c>
      <c r="B255" s="1" t="s">
        <v>2</v>
      </c>
      <c r="C255" s="1" t="s">
        <v>2</v>
      </c>
      <c r="D255" s="1" t="s">
        <v>2</v>
      </c>
      <c r="E255" s="1"/>
      <c r="F255" s="1"/>
      <c r="G255" s="1" t="s">
        <v>2</v>
      </c>
      <c r="H255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8FDC0-7909-4D8B-AD62-32D189FBAAAF}">
  <sheetPr>
    <tabColor rgb="FF92D050"/>
    <pageSetUpPr fitToPage="1"/>
  </sheetPr>
  <dimension ref="A1:M217"/>
  <sheetViews>
    <sheetView showGridLines="0" zoomScaleNormal="100" workbookViewId="0">
      <pane ySplit="5" topLeftCell="A214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style="250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4001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H7-F216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2968</v>
      </c>
      <c r="B7" s="291"/>
      <c r="C7" s="294">
        <v>6968582.8200000003</v>
      </c>
      <c r="D7" s="294">
        <v>9003322.3399999999</v>
      </c>
      <c r="E7" s="294">
        <v>9003322.3399999999</v>
      </c>
      <c r="F7" s="294">
        <v>9003322.3399999999</v>
      </c>
      <c r="G7" s="294">
        <v>9003322.3399999999</v>
      </c>
      <c r="H7" s="294">
        <f>F216</f>
        <v>10581348.820000002</v>
      </c>
      <c r="I7" s="291"/>
    </row>
    <row r="8" spans="1:13" x14ac:dyDescent="0.25">
      <c r="A8" s="23" t="s">
        <v>1467</v>
      </c>
      <c r="B8" s="23" t="s">
        <v>2</v>
      </c>
      <c r="C8" s="29"/>
      <c r="D8" s="29"/>
      <c r="E8" s="29"/>
      <c r="F8" s="29"/>
      <c r="G8" s="29"/>
      <c r="H8" s="29"/>
      <c r="I8" s="251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51"/>
    </row>
    <row r="10" spans="1:13" x14ac:dyDescent="0.25">
      <c r="A10" s="30" t="s">
        <v>2969</v>
      </c>
      <c r="B10" s="30" t="s">
        <v>2608</v>
      </c>
      <c r="C10" s="31">
        <v>0</v>
      </c>
      <c r="D10" s="31">
        <v>0</v>
      </c>
      <c r="E10" s="31">
        <v>0</v>
      </c>
      <c r="F10" s="31">
        <f>E10/9*12</f>
        <v>0</v>
      </c>
      <c r="G10" s="31">
        <v>0</v>
      </c>
      <c r="H10" s="31">
        <v>0</v>
      </c>
      <c r="I10" s="251"/>
    </row>
    <row r="11" spans="1:13" x14ac:dyDescent="0.25">
      <c r="A11" s="30" t="s">
        <v>2970</v>
      </c>
      <c r="B11" s="30" t="s">
        <v>2971</v>
      </c>
      <c r="C11" s="31">
        <v>0</v>
      </c>
      <c r="D11" s="31">
        <v>0</v>
      </c>
      <c r="E11" s="31">
        <v>0</v>
      </c>
      <c r="F11" s="31">
        <f t="shared" ref="F11:F12" si="0">E11/9*12</f>
        <v>0</v>
      </c>
      <c r="G11" s="31">
        <v>0</v>
      </c>
      <c r="H11" s="31">
        <v>0</v>
      </c>
      <c r="I11" s="251"/>
    </row>
    <row r="12" spans="1:13" x14ac:dyDescent="0.25">
      <c r="A12" s="30" t="s">
        <v>2972</v>
      </c>
      <c r="B12" s="30" t="s">
        <v>2123</v>
      </c>
      <c r="C12" s="31">
        <v>1059.31</v>
      </c>
      <c r="D12" s="31">
        <v>0</v>
      </c>
      <c r="E12" s="31">
        <v>0</v>
      </c>
      <c r="F12" s="31">
        <f t="shared" si="0"/>
        <v>0</v>
      </c>
      <c r="G12" s="31">
        <v>0</v>
      </c>
      <c r="H12" s="31">
        <v>0</v>
      </c>
      <c r="I12" s="251"/>
    </row>
    <row r="13" spans="1:13" x14ac:dyDescent="0.25">
      <c r="A13" s="30" t="s">
        <v>2973</v>
      </c>
      <c r="B13" s="30" t="s">
        <v>2974</v>
      </c>
      <c r="C13" s="31">
        <v>0</v>
      </c>
      <c r="D13" s="31">
        <v>0</v>
      </c>
      <c r="E13" s="31">
        <v>0</v>
      </c>
      <c r="F13" s="31">
        <f>E13/9*12</f>
        <v>0</v>
      </c>
      <c r="G13" s="31">
        <v>0</v>
      </c>
      <c r="H13" s="31">
        <v>0</v>
      </c>
      <c r="I13" s="251"/>
    </row>
    <row r="14" spans="1:13" x14ac:dyDescent="0.25">
      <c r="A14" s="30"/>
      <c r="B14" s="30"/>
      <c r="C14" s="31"/>
      <c r="D14" s="31"/>
      <c r="E14" s="31"/>
      <c r="F14" s="31"/>
      <c r="G14" s="31"/>
      <c r="H14" s="31"/>
      <c r="I14" s="251"/>
    </row>
    <row r="15" spans="1:13" ht="24" x14ac:dyDescent="0.25">
      <c r="A15" s="23" t="s">
        <v>2706</v>
      </c>
      <c r="B15" s="23" t="s">
        <v>2</v>
      </c>
      <c r="C15" s="29"/>
      <c r="D15" s="29"/>
      <c r="E15" s="29"/>
      <c r="F15" s="29"/>
      <c r="G15" s="29"/>
      <c r="H15" s="29"/>
      <c r="I15" s="251"/>
    </row>
    <row r="16" spans="1:13" x14ac:dyDescent="0.25">
      <c r="A16" s="23" t="s">
        <v>2707</v>
      </c>
      <c r="B16" s="23" t="s">
        <v>2</v>
      </c>
      <c r="C16" s="29"/>
      <c r="D16" s="29"/>
      <c r="E16" s="29"/>
      <c r="F16" s="29"/>
      <c r="G16" s="29"/>
      <c r="H16" s="29"/>
      <c r="I16" s="251"/>
    </row>
    <row r="17" spans="1:9" x14ac:dyDescent="0.25">
      <c r="A17" s="30" t="s">
        <v>2975</v>
      </c>
      <c r="B17" s="30" t="s">
        <v>2976</v>
      </c>
      <c r="C17" s="31">
        <v>2252174.08</v>
      </c>
      <c r="D17" s="31">
        <v>654234.9</v>
      </c>
      <c r="E17" s="31">
        <v>1136382.96</v>
      </c>
      <c r="F17" s="31">
        <f t="shared" ref="F17:F26" si="1">E17/9*12</f>
        <v>1515177.28</v>
      </c>
      <c r="G17" s="31">
        <v>1032687</v>
      </c>
      <c r="H17" s="31">
        <f>G17*1.079</f>
        <v>1114269.273</v>
      </c>
      <c r="I17" s="251"/>
    </row>
    <row r="18" spans="1:9" x14ac:dyDescent="0.25">
      <c r="A18" s="30" t="s">
        <v>2977</v>
      </c>
      <c r="B18" s="30" t="s">
        <v>2894</v>
      </c>
      <c r="C18" s="31">
        <v>15992.92</v>
      </c>
      <c r="D18" s="31">
        <v>9784.6</v>
      </c>
      <c r="E18" s="31">
        <v>16078.76</v>
      </c>
      <c r="F18" s="31">
        <f t="shared" si="1"/>
        <v>21438.346666666668</v>
      </c>
      <c r="G18" s="31">
        <v>0</v>
      </c>
      <c r="H18" s="31">
        <f t="shared" ref="H18:H19" si="2">G18*1.079</f>
        <v>0</v>
      </c>
      <c r="I18" s="251"/>
    </row>
    <row r="19" spans="1:9" x14ac:dyDescent="0.25">
      <c r="A19" s="30" t="s">
        <v>2978</v>
      </c>
      <c r="B19" s="30" t="s">
        <v>2896</v>
      </c>
      <c r="C19" s="31">
        <v>0</v>
      </c>
      <c r="D19" s="31">
        <v>0</v>
      </c>
      <c r="E19" s="31">
        <v>0</v>
      </c>
      <c r="F19" s="31">
        <f t="shared" si="1"/>
        <v>0</v>
      </c>
      <c r="G19" s="31">
        <v>0</v>
      </c>
      <c r="H19" s="31">
        <f t="shared" si="2"/>
        <v>0</v>
      </c>
      <c r="I19" s="251"/>
    </row>
    <row r="20" spans="1:9" x14ac:dyDescent="0.25">
      <c r="A20" s="30" t="s">
        <v>2979</v>
      </c>
      <c r="B20" s="30" t="s">
        <v>2898</v>
      </c>
      <c r="C20" s="31">
        <v>4731599.3899999997</v>
      </c>
      <c r="D20" s="31">
        <v>2622681.3199999998</v>
      </c>
      <c r="E20" s="31">
        <v>4488645.4800000004</v>
      </c>
      <c r="F20" s="31">
        <f t="shared" si="1"/>
        <v>5984860.6400000006</v>
      </c>
      <c r="G20" s="31">
        <v>4901565</v>
      </c>
      <c r="H20" s="31">
        <f t="shared" ref="H20:H26" si="3">G20*1.05</f>
        <v>5146643.25</v>
      </c>
      <c r="I20" s="251"/>
    </row>
    <row r="21" spans="1:9" x14ac:dyDescent="0.25">
      <c r="A21" s="30" t="s">
        <v>2980</v>
      </c>
      <c r="B21" s="30" t="s">
        <v>2981</v>
      </c>
      <c r="C21" s="31">
        <v>183.53</v>
      </c>
      <c r="D21" s="31">
        <v>0</v>
      </c>
      <c r="E21" s="31">
        <v>0</v>
      </c>
      <c r="F21" s="31">
        <f t="shared" si="1"/>
        <v>0</v>
      </c>
      <c r="G21" s="31">
        <v>0</v>
      </c>
      <c r="H21" s="31">
        <f t="shared" si="3"/>
        <v>0</v>
      </c>
      <c r="I21" s="251"/>
    </row>
    <row r="22" spans="1:9" x14ac:dyDescent="0.25">
      <c r="A22" s="30" t="s">
        <v>2982</v>
      </c>
      <c r="B22" s="30" t="s">
        <v>2983</v>
      </c>
      <c r="C22" s="31">
        <v>132773.88</v>
      </c>
      <c r="D22" s="31">
        <v>63684.68</v>
      </c>
      <c r="E22" s="31">
        <v>109999.61</v>
      </c>
      <c r="F22" s="31">
        <f t="shared" si="1"/>
        <v>146666.14666666667</v>
      </c>
      <c r="G22" s="31">
        <v>120000</v>
      </c>
      <c r="H22" s="31">
        <f t="shared" si="3"/>
        <v>126000</v>
      </c>
      <c r="I22" s="251"/>
    </row>
    <row r="23" spans="1:9" x14ac:dyDescent="0.25">
      <c r="A23" s="30" t="s">
        <v>2984</v>
      </c>
      <c r="B23" s="30" t="s">
        <v>2985</v>
      </c>
      <c r="C23" s="31">
        <v>236.68</v>
      </c>
      <c r="D23" s="31">
        <v>0</v>
      </c>
      <c r="E23" s="31">
        <v>0</v>
      </c>
      <c r="F23" s="31">
        <f t="shared" si="1"/>
        <v>0</v>
      </c>
      <c r="G23" s="31">
        <v>0</v>
      </c>
      <c r="H23" s="31">
        <f t="shared" si="3"/>
        <v>0</v>
      </c>
      <c r="I23" s="251"/>
    </row>
    <row r="24" spans="1:9" x14ac:dyDescent="0.25">
      <c r="A24" s="30" t="s">
        <v>2986</v>
      </c>
      <c r="B24" s="30" t="s">
        <v>2987</v>
      </c>
      <c r="C24" s="31">
        <v>18300</v>
      </c>
      <c r="D24" s="31">
        <v>4740</v>
      </c>
      <c r="E24" s="31">
        <v>7340</v>
      </c>
      <c r="F24" s="31">
        <f t="shared" si="1"/>
        <v>9786.6666666666661</v>
      </c>
      <c r="G24" s="31">
        <v>8500</v>
      </c>
      <c r="H24" s="31">
        <f>G24*1.079</f>
        <v>9171.5</v>
      </c>
      <c r="I24" s="251"/>
    </row>
    <row r="25" spans="1:9" x14ac:dyDescent="0.25">
      <c r="A25" s="30" t="s">
        <v>2988</v>
      </c>
      <c r="B25" s="30" t="s">
        <v>2989</v>
      </c>
      <c r="C25" s="31">
        <v>8885.25</v>
      </c>
      <c r="D25" s="31">
        <v>3102.75</v>
      </c>
      <c r="E25" s="31">
        <v>5352.82</v>
      </c>
      <c r="F25" s="31">
        <f t="shared" si="1"/>
        <v>7137.0933333333323</v>
      </c>
      <c r="G25" s="31">
        <v>4500</v>
      </c>
      <c r="H25" s="31">
        <f>G25</f>
        <v>4500</v>
      </c>
      <c r="I25" s="251"/>
    </row>
    <row r="26" spans="1:9" x14ac:dyDescent="0.25">
      <c r="A26" s="30" t="s">
        <v>2990</v>
      </c>
      <c r="B26" s="30" t="s">
        <v>2991</v>
      </c>
      <c r="C26" s="31">
        <v>300</v>
      </c>
      <c r="D26" s="31">
        <v>250.62</v>
      </c>
      <c r="E26" s="31">
        <v>1884.76</v>
      </c>
      <c r="F26" s="31">
        <f t="shared" si="1"/>
        <v>2513.0133333333333</v>
      </c>
      <c r="G26" s="31">
        <v>0</v>
      </c>
      <c r="H26" s="31">
        <f t="shared" si="3"/>
        <v>0</v>
      </c>
      <c r="I26" s="251"/>
    </row>
    <row r="27" spans="1:9" x14ac:dyDescent="0.25">
      <c r="A27" s="23" t="s">
        <v>2710</v>
      </c>
      <c r="B27" s="23" t="s">
        <v>2</v>
      </c>
      <c r="C27" s="32">
        <v>7160445.7300000004</v>
      </c>
      <c r="D27" s="32">
        <v>3358478.87</v>
      </c>
      <c r="E27" s="32">
        <f>SUM(E17:E26)</f>
        <v>5765684.3900000006</v>
      </c>
      <c r="F27" s="32">
        <f>SUM(F17:F26)</f>
        <v>7687579.1866666684</v>
      </c>
      <c r="G27" s="32">
        <f>SUM(G17:G26)</f>
        <v>6067252</v>
      </c>
      <c r="H27" s="32">
        <f>SUM(H17:H26)</f>
        <v>6400584.023</v>
      </c>
      <c r="I27" s="251"/>
    </row>
    <row r="28" spans="1:9" x14ac:dyDescent="0.25">
      <c r="A28" s="23" t="s">
        <v>2</v>
      </c>
      <c r="B28" s="23" t="s">
        <v>2</v>
      </c>
      <c r="C28" s="23" t="s">
        <v>2</v>
      </c>
      <c r="D28" s="23" t="s">
        <v>2</v>
      </c>
      <c r="E28" s="23"/>
      <c r="F28" s="23"/>
      <c r="G28" s="23" t="s">
        <v>2</v>
      </c>
      <c r="H28" s="23" t="s">
        <v>2</v>
      </c>
      <c r="I28" s="251"/>
    </row>
    <row r="29" spans="1:9" ht="24" x14ac:dyDescent="0.25">
      <c r="A29" s="23" t="s">
        <v>2721</v>
      </c>
      <c r="B29" s="23" t="s">
        <v>2</v>
      </c>
      <c r="C29" s="32">
        <v>7160445.7300000004</v>
      </c>
      <c r="D29" s="32">
        <v>3358478.87</v>
      </c>
      <c r="E29" s="32">
        <f>E27</f>
        <v>5765684.3900000006</v>
      </c>
      <c r="F29" s="32">
        <f>F27</f>
        <v>7687579.1866666684</v>
      </c>
      <c r="G29" s="32">
        <f>G27</f>
        <v>6067252</v>
      </c>
      <c r="H29" s="32">
        <f>H27</f>
        <v>6400584.023</v>
      </c>
      <c r="I29" s="251"/>
    </row>
    <row r="30" spans="1:9" x14ac:dyDescent="0.25">
      <c r="A30" s="23" t="s">
        <v>2</v>
      </c>
      <c r="B30" s="23" t="s">
        <v>2</v>
      </c>
      <c r="C30" s="23" t="s">
        <v>2</v>
      </c>
      <c r="D30" s="23" t="s">
        <v>2</v>
      </c>
      <c r="E30" s="23"/>
      <c r="F30" s="23"/>
      <c r="G30" s="23" t="s">
        <v>2</v>
      </c>
      <c r="H30" s="23" t="s">
        <v>2</v>
      </c>
      <c r="I30" s="251"/>
    </row>
    <row r="31" spans="1:9" x14ac:dyDescent="0.25">
      <c r="A31" s="30" t="s">
        <v>2992</v>
      </c>
      <c r="B31" s="30" t="s">
        <v>2993</v>
      </c>
      <c r="C31" s="31">
        <v>0</v>
      </c>
      <c r="D31" s="31">
        <v>0</v>
      </c>
      <c r="E31" s="31">
        <v>0</v>
      </c>
      <c r="F31" s="31">
        <f t="shared" ref="F31:F35" si="4">E31/9*12</f>
        <v>0</v>
      </c>
      <c r="G31" s="31">
        <v>0</v>
      </c>
      <c r="H31" s="31">
        <v>0</v>
      </c>
      <c r="I31" s="251"/>
    </row>
    <row r="32" spans="1:9" x14ac:dyDescent="0.25">
      <c r="A32" s="30" t="s">
        <v>2994</v>
      </c>
      <c r="B32" s="30" t="s">
        <v>2584</v>
      </c>
      <c r="C32" s="31">
        <v>3559.94</v>
      </c>
      <c r="D32" s="31">
        <v>11825.49</v>
      </c>
      <c r="E32" s="31">
        <v>16033.73</v>
      </c>
      <c r="F32" s="31">
        <f t="shared" si="4"/>
        <v>21378.306666666664</v>
      </c>
      <c r="G32" s="31">
        <v>0</v>
      </c>
      <c r="H32" s="31">
        <v>0</v>
      </c>
      <c r="I32" s="251"/>
    </row>
    <row r="33" spans="1:9" x14ac:dyDescent="0.25">
      <c r="A33" s="30" t="s">
        <v>2995</v>
      </c>
      <c r="B33" s="30" t="s">
        <v>2930</v>
      </c>
      <c r="C33" s="31">
        <v>594</v>
      </c>
      <c r="D33" s="31">
        <v>486</v>
      </c>
      <c r="E33" s="31">
        <v>801.09</v>
      </c>
      <c r="F33" s="31">
        <f t="shared" si="4"/>
        <v>1068.1200000000001</v>
      </c>
      <c r="G33" s="31">
        <v>0</v>
      </c>
      <c r="H33" s="31">
        <v>0</v>
      </c>
      <c r="I33" s="251"/>
    </row>
    <row r="34" spans="1:9" x14ac:dyDescent="0.25">
      <c r="A34" s="30" t="s">
        <v>2996</v>
      </c>
      <c r="B34" s="30" t="s">
        <v>2932</v>
      </c>
      <c r="C34" s="31">
        <v>0</v>
      </c>
      <c r="D34" s="31">
        <v>0</v>
      </c>
      <c r="E34" s="31">
        <v>0</v>
      </c>
      <c r="F34" s="31">
        <f t="shared" si="4"/>
        <v>0</v>
      </c>
      <c r="G34" s="31">
        <v>0</v>
      </c>
      <c r="H34" s="31">
        <v>0</v>
      </c>
      <c r="I34" s="251"/>
    </row>
    <row r="35" spans="1:9" x14ac:dyDescent="0.25">
      <c r="A35" s="30" t="s">
        <v>2997</v>
      </c>
      <c r="B35" s="30" t="s">
        <v>2934</v>
      </c>
      <c r="C35" s="31">
        <v>0</v>
      </c>
      <c r="D35" s="31">
        <v>1413.58</v>
      </c>
      <c r="E35" s="31">
        <v>10530.93</v>
      </c>
      <c r="F35" s="31">
        <f t="shared" si="4"/>
        <v>14041.240000000002</v>
      </c>
      <c r="G35" s="31">
        <v>0</v>
      </c>
      <c r="H35" s="31">
        <v>0</v>
      </c>
      <c r="I35" s="251"/>
    </row>
    <row r="36" spans="1:9" x14ac:dyDescent="0.25">
      <c r="A36" s="30"/>
      <c r="B36" s="30"/>
      <c r="C36" s="31"/>
      <c r="D36" s="31"/>
      <c r="E36" s="31"/>
      <c r="F36" s="31"/>
      <c r="G36" s="31"/>
      <c r="H36" s="31"/>
      <c r="I36" s="251"/>
    </row>
    <row r="37" spans="1:9" x14ac:dyDescent="0.25">
      <c r="A37" s="23" t="s">
        <v>2175</v>
      </c>
      <c r="B37" s="23" t="s">
        <v>2</v>
      </c>
      <c r="C37" s="29"/>
      <c r="D37" s="29"/>
      <c r="E37" s="29"/>
      <c r="F37" s="29"/>
      <c r="G37" s="29"/>
      <c r="H37" s="29"/>
      <c r="I37" s="251"/>
    </row>
    <row r="38" spans="1:9" x14ac:dyDescent="0.25">
      <c r="A38" s="23" t="s">
        <v>2176</v>
      </c>
      <c r="B38" s="23" t="s">
        <v>2</v>
      </c>
      <c r="C38" s="29"/>
      <c r="D38" s="29"/>
      <c r="E38" s="29"/>
      <c r="F38" s="29"/>
      <c r="G38" s="29"/>
      <c r="H38" s="29"/>
      <c r="I38" s="251"/>
    </row>
    <row r="39" spans="1:9" x14ac:dyDescent="0.25">
      <c r="A39" s="30" t="s">
        <v>2998</v>
      </c>
      <c r="B39" s="30" t="s">
        <v>2409</v>
      </c>
      <c r="C39" s="31">
        <v>4045.69</v>
      </c>
      <c r="D39" s="31">
        <v>4052.2</v>
      </c>
      <c r="E39" s="31">
        <v>16163.12</v>
      </c>
      <c r="F39" s="31">
        <f t="shared" ref="F39:F41" si="5">E39/9*12</f>
        <v>21550.826666666668</v>
      </c>
      <c r="G39" s="31">
        <v>0</v>
      </c>
      <c r="H39" s="31">
        <v>0</v>
      </c>
      <c r="I39" s="251"/>
    </row>
    <row r="40" spans="1:9" x14ac:dyDescent="0.25">
      <c r="A40" s="30" t="s">
        <v>2999</v>
      </c>
      <c r="B40" s="30" t="s">
        <v>2703</v>
      </c>
      <c r="C40" s="31">
        <v>0</v>
      </c>
      <c r="D40" s="31">
        <v>0</v>
      </c>
      <c r="E40" s="31">
        <v>0</v>
      </c>
      <c r="F40" s="31">
        <f t="shared" si="5"/>
        <v>0</v>
      </c>
      <c r="G40" s="31">
        <v>0</v>
      </c>
      <c r="H40" s="31">
        <v>0</v>
      </c>
      <c r="I40" s="251"/>
    </row>
    <row r="41" spans="1:9" x14ac:dyDescent="0.25">
      <c r="A41" s="30" t="s">
        <v>3000</v>
      </c>
      <c r="B41" s="30" t="s">
        <v>2938</v>
      </c>
      <c r="C41" s="31">
        <v>14.65</v>
      </c>
      <c r="D41" s="31">
        <v>4.6100000000000003</v>
      </c>
      <c r="E41" s="31">
        <v>9.3000000000000007</v>
      </c>
      <c r="F41" s="31">
        <f t="shared" si="5"/>
        <v>12.400000000000002</v>
      </c>
      <c r="G41" s="31">
        <v>0</v>
      </c>
      <c r="H41" s="31">
        <v>0</v>
      </c>
      <c r="I41" s="251"/>
    </row>
    <row r="42" spans="1:9" ht="24" x14ac:dyDescent="0.25">
      <c r="A42" s="23" t="s">
        <v>2179</v>
      </c>
      <c r="B42" s="23" t="s">
        <v>2</v>
      </c>
      <c r="C42" s="32">
        <v>4060.34</v>
      </c>
      <c r="D42" s="32">
        <v>4056.81</v>
      </c>
      <c r="E42" s="32">
        <f>SUM(E39:E41)</f>
        <v>16172.42</v>
      </c>
      <c r="F42" s="32">
        <f>SUM(F39:F41)</f>
        <v>21563.226666666669</v>
      </c>
      <c r="G42" s="32">
        <f>SUM(G39:G41)</f>
        <v>0</v>
      </c>
      <c r="H42" s="32">
        <f>SUM(H39:H41)</f>
        <v>0</v>
      </c>
      <c r="I42" s="251"/>
    </row>
    <row r="43" spans="1:9" x14ac:dyDescent="0.25">
      <c r="A43" s="23" t="s">
        <v>2</v>
      </c>
      <c r="B43" s="23" t="s">
        <v>2</v>
      </c>
      <c r="C43" s="23" t="s">
        <v>2</v>
      </c>
      <c r="D43" s="23" t="s">
        <v>2</v>
      </c>
      <c r="E43" s="23"/>
      <c r="F43" s="23"/>
      <c r="G43" s="23" t="s">
        <v>2</v>
      </c>
      <c r="H43" s="23" t="s">
        <v>2</v>
      </c>
      <c r="I43" s="251"/>
    </row>
    <row r="44" spans="1:9" ht="24" x14ac:dyDescent="0.25">
      <c r="A44" s="23" t="s">
        <v>2581</v>
      </c>
      <c r="B44" s="23" t="s">
        <v>2</v>
      </c>
      <c r="C44" s="29"/>
      <c r="D44" s="29"/>
      <c r="E44" s="29"/>
      <c r="F44" s="29"/>
      <c r="G44" s="29"/>
      <c r="H44" s="29"/>
      <c r="I44" s="251"/>
    </row>
    <row r="45" spans="1:9" x14ac:dyDescent="0.25">
      <c r="A45" s="30" t="s">
        <v>3001</v>
      </c>
      <c r="B45" s="30" t="s">
        <v>3002</v>
      </c>
      <c r="C45" s="31">
        <v>955.95</v>
      </c>
      <c r="D45" s="31">
        <v>0</v>
      </c>
      <c r="E45" s="31">
        <v>1623.5</v>
      </c>
      <c r="F45" s="31">
        <f t="shared" ref="F45:F46" si="6">E45/9*12</f>
        <v>2164.6666666666665</v>
      </c>
      <c r="G45" s="31">
        <v>0</v>
      </c>
      <c r="H45" s="31">
        <v>0</v>
      </c>
      <c r="I45" s="251"/>
    </row>
    <row r="46" spans="1:9" x14ac:dyDescent="0.25">
      <c r="A46" s="30" t="s">
        <v>3003</v>
      </c>
      <c r="B46" s="30" t="s">
        <v>2942</v>
      </c>
      <c r="C46" s="31">
        <v>0</v>
      </c>
      <c r="D46" s="31">
        <v>0</v>
      </c>
      <c r="E46" s="31">
        <v>0</v>
      </c>
      <c r="F46" s="31">
        <f t="shared" si="6"/>
        <v>0</v>
      </c>
      <c r="G46" s="31">
        <v>0</v>
      </c>
      <c r="H46" s="31">
        <v>0</v>
      </c>
      <c r="I46" s="251"/>
    </row>
    <row r="47" spans="1:9" ht="24" x14ac:dyDescent="0.25">
      <c r="A47" s="23" t="s">
        <v>2585</v>
      </c>
      <c r="B47" s="23" t="s">
        <v>2</v>
      </c>
      <c r="C47" s="32">
        <v>955.95</v>
      </c>
      <c r="D47" s="32">
        <v>0</v>
      </c>
      <c r="E47" s="32">
        <f>E45+E46</f>
        <v>1623.5</v>
      </c>
      <c r="F47" s="32">
        <f>F45+F46</f>
        <v>2164.6666666666665</v>
      </c>
      <c r="G47" s="32">
        <f>SUM(G45:G46)</f>
        <v>0</v>
      </c>
      <c r="H47" s="32">
        <f>SUM(H45:H46)</f>
        <v>0</v>
      </c>
      <c r="I47" s="251"/>
    </row>
    <row r="48" spans="1:9" x14ac:dyDescent="0.25">
      <c r="A48" s="30"/>
      <c r="B48" s="30"/>
      <c r="C48" s="31"/>
      <c r="D48" s="31"/>
      <c r="E48" s="31"/>
      <c r="F48" s="31"/>
      <c r="G48" s="31"/>
      <c r="H48" s="31"/>
      <c r="I48" s="251"/>
    </row>
    <row r="49" spans="1:9" ht="24" x14ac:dyDescent="0.25">
      <c r="A49" s="23" t="s">
        <v>2180</v>
      </c>
      <c r="B49" s="23" t="s">
        <v>2</v>
      </c>
      <c r="C49" s="32">
        <v>5016.29</v>
      </c>
      <c r="D49" s="32">
        <v>4056.81</v>
      </c>
      <c r="E49" s="32">
        <f>E42+E47</f>
        <v>17795.919999999998</v>
      </c>
      <c r="F49" s="32">
        <f>F42+F47</f>
        <v>23727.893333333337</v>
      </c>
      <c r="G49" s="32">
        <f>G42+G47</f>
        <v>0</v>
      </c>
      <c r="H49" s="32">
        <f>H42+H47</f>
        <v>0</v>
      </c>
      <c r="I49" s="251"/>
    </row>
    <row r="50" spans="1:9" x14ac:dyDescent="0.25">
      <c r="A50" s="23" t="s">
        <v>2</v>
      </c>
      <c r="B50" s="23" t="s">
        <v>2</v>
      </c>
      <c r="C50" s="23" t="s">
        <v>2</v>
      </c>
      <c r="D50" s="23" t="s">
        <v>2</v>
      </c>
      <c r="E50" s="23"/>
      <c r="F50" s="23"/>
      <c r="G50" s="23" t="s">
        <v>2</v>
      </c>
      <c r="H50" s="23" t="s">
        <v>2</v>
      </c>
      <c r="I50" s="251"/>
    </row>
    <row r="51" spans="1:9" ht="24" x14ac:dyDescent="0.25">
      <c r="A51" s="23" t="s">
        <v>2948</v>
      </c>
      <c r="B51" s="23" t="s">
        <v>2</v>
      </c>
      <c r="C51" s="29"/>
      <c r="D51" s="29"/>
      <c r="E51" s="29"/>
      <c r="F51" s="29"/>
      <c r="G51" s="29"/>
      <c r="H51" s="29"/>
      <c r="I51" s="251"/>
    </row>
    <row r="52" spans="1:9" x14ac:dyDescent="0.25">
      <c r="A52" s="30" t="s">
        <v>3004</v>
      </c>
      <c r="B52" s="30" t="s">
        <v>3005</v>
      </c>
      <c r="C52" s="31">
        <v>0</v>
      </c>
      <c r="D52" s="31">
        <v>0</v>
      </c>
      <c r="E52" s="31">
        <v>0</v>
      </c>
      <c r="F52" s="31">
        <f>E52/9*12</f>
        <v>0</v>
      </c>
      <c r="G52" s="31">
        <v>0</v>
      </c>
      <c r="H52" s="31">
        <v>0</v>
      </c>
      <c r="I52" s="251"/>
    </row>
    <row r="53" spans="1:9" ht="24" x14ac:dyDescent="0.25">
      <c r="A53" s="23" t="s">
        <v>2950</v>
      </c>
      <c r="B53" s="23" t="s">
        <v>2</v>
      </c>
      <c r="C53" s="32">
        <v>0</v>
      </c>
      <c r="D53" s="32">
        <v>0</v>
      </c>
      <c r="E53" s="32">
        <f>E52</f>
        <v>0</v>
      </c>
      <c r="F53" s="32">
        <f>F52</f>
        <v>0</v>
      </c>
      <c r="G53" s="32">
        <f>SUM(G52)</f>
        <v>0</v>
      </c>
      <c r="H53" s="32">
        <f>SUM(H52)</f>
        <v>0</v>
      </c>
      <c r="I53" s="251"/>
    </row>
    <row r="54" spans="1:9" x14ac:dyDescent="0.25">
      <c r="A54" s="23" t="s">
        <v>2</v>
      </c>
      <c r="B54" s="23" t="s">
        <v>2</v>
      </c>
      <c r="C54" s="23" t="s">
        <v>2</v>
      </c>
      <c r="D54" s="23" t="s">
        <v>2</v>
      </c>
      <c r="E54" s="23"/>
      <c r="F54" s="23"/>
      <c r="G54" s="23" t="s">
        <v>2</v>
      </c>
      <c r="H54" s="23" t="s">
        <v>2</v>
      </c>
      <c r="I54" s="251"/>
    </row>
    <row r="55" spans="1:9" x14ac:dyDescent="0.25">
      <c r="A55" s="23" t="s">
        <v>2553</v>
      </c>
      <c r="B55" s="23" t="s">
        <v>2</v>
      </c>
      <c r="C55" s="29"/>
      <c r="D55" s="29"/>
      <c r="E55" s="29"/>
      <c r="F55" s="29"/>
      <c r="G55" s="29"/>
      <c r="H55" s="29"/>
      <c r="I55" s="251"/>
    </row>
    <row r="56" spans="1:9" ht="24" x14ac:dyDescent="0.25">
      <c r="A56" s="23" t="s">
        <v>3006</v>
      </c>
      <c r="B56" s="23" t="s">
        <v>2</v>
      </c>
      <c r="C56" s="29"/>
      <c r="D56" s="29"/>
      <c r="E56" s="29"/>
      <c r="F56" s="29"/>
      <c r="G56" s="29"/>
      <c r="H56" s="29"/>
      <c r="I56" s="251"/>
    </row>
    <row r="57" spans="1:9" x14ac:dyDescent="0.25">
      <c r="A57" s="30" t="s">
        <v>3007</v>
      </c>
      <c r="B57" s="30" t="s">
        <v>3008</v>
      </c>
      <c r="C57" s="31">
        <v>0</v>
      </c>
      <c r="D57" s="31">
        <v>0</v>
      </c>
      <c r="E57" s="31">
        <v>0</v>
      </c>
      <c r="F57" s="31">
        <f t="shared" ref="F57:F58" si="7">E57/9*12</f>
        <v>0</v>
      </c>
      <c r="G57" s="31">
        <v>0</v>
      </c>
      <c r="H57" s="31">
        <v>0</v>
      </c>
      <c r="I57" s="251"/>
    </row>
    <row r="58" spans="1:9" x14ac:dyDescent="0.25">
      <c r="A58" s="30" t="s">
        <v>3009</v>
      </c>
      <c r="B58" s="30" t="s">
        <v>3010</v>
      </c>
      <c r="C58" s="31">
        <v>0</v>
      </c>
      <c r="D58" s="31">
        <v>0</v>
      </c>
      <c r="E58" s="31">
        <v>0</v>
      </c>
      <c r="F58" s="31">
        <f t="shared" si="7"/>
        <v>0</v>
      </c>
      <c r="G58" s="31">
        <v>0</v>
      </c>
      <c r="H58" s="31">
        <v>0</v>
      </c>
      <c r="I58" s="251"/>
    </row>
    <row r="59" spans="1:9" ht="36" x14ac:dyDescent="0.25">
      <c r="A59" s="23" t="s">
        <v>3011</v>
      </c>
      <c r="B59" s="23" t="s">
        <v>2</v>
      </c>
      <c r="C59" s="32">
        <v>0</v>
      </c>
      <c r="D59" s="32">
        <v>0</v>
      </c>
      <c r="E59" s="32">
        <f>E57+E58</f>
        <v>0</v>
      </c>
      <c r="F59" s="32">
        <f>F57+F58</f>
        <v>0</v>
      </c>
      <c r="G59" s="32">
        <f>SUM(G57:G58)</f>
        <v>0</v>
      </c>
      <c r="H59" s="32">
        <f>SUM(H57:H58)</f>
        <v>0</v>
      </c>
      <c r="I59" s="251"/>
    </row>
    <row r="60" spans="1:9" x14ac:dyDescent="0.25">
      <c r="A60" s="23" t="s">
        <v>2</v>
      </c>
      <c r="B60" s="23" t="s">
        <v>2</v>
      </c>
      <c r="C60" s="23" t="s">
        <v>2</v>
      </c>
      <c r="D60" s="23" t="s">
        <v>2</v>
      </c>
      <c r="E60" s="23"/>
      <c r="F60" s="23"/>
      <c r="G60" s="23" t="s">
        <v>2</v>
      </c>
      <c r="H60" s="23" t="s">
        <v>2</v>
      </c>
      <c r="I60" s="251"/>
    </row>
    <row r="61" spans="1:9" x14ac:dyDescent="0.25">
      <c r="A61" s="30" t="s">
        <v>3012</v>
      </c>
      <c r="B61" s="30" t="s">
        <v>3013</v>
      </c>
      <c r="C61" s="31">
        <v>0</v>
      </c>
      <c r="D61" s="31">
        <v>0</v>
      </c>
      <c r="E61" s="31">
        <v>0</v>
      </c>
      <c r="F61" s="31">
        <f>E61/9*12</f>
        <v>0</v>
      </c>
      <c r="G61" s="31">
        <v>0</v>
      </c>
      <c r="H61" s="31">
        <v>0</v>
      </c>
      <c r="I61" s="251"/>
    </row>
    <row r="62" spans="1:9" x14ac:dyDescent="0.25">
      <c r="A62" s="109" t="s">
        <v>3014</v>
      </c>
      <c r="B62" s="109" t="s">
        <v>2965</v>
      </c>
      <c r="C62" s="110">
        <v>0</v>
      </c>
      <c r="D62" s="110">
        <v>0</v>
      </c>
      <c r="E62" s="110">
        <v>0</v>
      </c>
      <c r="F62" s="110">
        <v>0</v>
      </c>
      <c r="G62" s="110">
        <v>0</v>
      </c>
      <c r="H62" s="110">
        <f>Transfers!$C$60</f>
        <v>0</v>
      </c>
      <c r="I62" s="253"/>
    </row>
    <row r="63" spans="1:9" x14ac:dyDescent="0.25">
      <c r="A63" s="23" t="s">
        <v>2</v>
      </c>
      <c r="B63" s="23" t="s">
        <v>2</v>
      </c>
      <c r="C63" s="23" t="s">
        <v>2</v>
      </c>
      <c r="D63" s="23" t="s">
        <v>2</v>
      </c>
      <c r="E63" s="23"/>
      <c r="F63" s="23"/>
      <c r="G63" s="23" t="s">
        <v>2</v>
      </c>
      <c r="H63" s="23" t="s">
        <v>2</v>
      </c>
      <c r="I63" s="251"/>
    </row>
    <row r="64" spans="1:9" ht="24" x14ac:dyDescent="0.25">
      <c r="A64" s="23" t="s">
        <v>2556</v>
      </c>
      <c r="B64" s="23" t="s">
        <v>2</v>
      </c>
      <c r="C64" s="32">
        <v>0</v>
      </c>
      <c r="D64" s="32">
        <v>0</v>
      </c>
      <c r="E64" s="32">
        <f>E61+E62+E59</f>
        <v>0</v>
      </c>
      <c r="F64" s="32">
        <f>F61+F62+F59</f>
        <v>0</v>
      </c>
      <c r="G64" s="32">
        <f>SUM(G61:G62)+G59</f>
        <v>0</v>
      </c>
      <c r="H64" s="32">
        <f>SUM(H61:H62)+H59</f>
        <v>0</v>
      </c>
      <c r="I64" s="251"/>
    </row>
    <row r="65" spans="1:9" x14ac:dyDescent="0.25">
      <c r="A65" s="23" t="s">
        <v>2</v>
      </c>
      <c r="B65" s="23" t="s">
        <v>2</v>
      </c>
      <c r="C65" s="23" t="s">
        <v>2</v>
      </c>
      <c r="D65" s="23" t="s">
        <v>2</v>
      </c>
      <c r="E65" s="23"/>
      <c r="F65" s="23"/>
      <c r="G65" s="23" t="s">
        <v>2</v>
      </c>
      <c r="H65" s="23" t="s">
        <v>2</v>
      </c>
      <c r="I65" s="251"/>
    </row>
    <row r="66" spans="1:9" x14ac:dyDescent="0.25">
      <c r="A66" s="23" t="s">
        <v>1643</v>
      </c>
      <c r="B66" s="23" t="s">
        <v>2</v>
      </c>
      <c r="C66" s="32">
        <v>7170675.2699999996</v>
      </c>
      <c r="D66" s="32">
        <v>3376260.75</v>
      </c>
      <c r="E66" s="32">
        <f>SUM(E10:E13)+E29+E31+E32+E33+E34+E35+E42+E47+E53+E59+E64</f>
        <v>5810846.0600000005</v>
      </c>
      <c r="F66" s="32">
        <f>SUM(F10:F13)+F29+F31+F32+F33+F34+F35+F42+F47+F53+F59+F64</f>
        <v>7747794.7466666689</v>
      </c>
      <c r="G66" s="32">
        <f>G64+G53+G49+SUM(G31:G35)+G29+SUM(G10:G13)</f>
        <v>6067252</v>
      </c>
      <c r="H66" s="32">
        <f>H64+H53+H49+SUM(H31:H35)+H29+SUM(H10:H13)</f>
        <v>6400584.023</v>
      </c>
      <c r="I66" s="251"/>
    </row>
    <row r="67" spans="1:9" x14ac:dyDescent="0.25">
      <c r="A67" s="1" t="s">
        <v>740</v>
      </c>
      <c r="B67" s="1"/>
      <c r="C67" s="4"/>
      <c r="D67" s="4"/>
      <c r="E67" s="4"/>
      <c r="F67" s="4"/>
      <c r="G67" s="4"/>
      <c r="H67" s="4"/>
    </row>
    <row r="68" spans="1:9" x14ac:dyDescent="0.25">
      <c r="A68" s="1" t="s">
        <v>1467</v>
      </c>
      <c r="B68" s="1" t="s">
        <v>2</v>
      </c>
      <c r="C68" s="40"/>
      <c r="D68" s="40"/>
      <c r="E68" s="40"/>
      <c r="F68" s="40"/>
    </row>
    <row r="69" spans="1:9" ht="15" customHeight="1" x14ac:dyDescent="0.25">
      <c r="A69" s="1" t="s">
        <v>1268</v>
      </c>
      <c r="B69" s="1" t="s">
        <v>2</v>
      </c>
    </row>
    <row r="70" spans="1:9" ht="15" customHeight="1" x14ac:dyDescent="0.25">
      <c r="A70" s="2" t="s">
        <v>1468</v>
      </c>
      <c r="B70" s="2" t="s">
        <v>108</v>
      </c>
      <c r="C70" s="3">
        <v>44167.61</v>
      </c>
      <c r="D70" s="3">
        <v>20158</v>
      </c>
      <c r="E70" s="3">
        <v>35030.21</v>
      </c>
      <c r="F70" s="3">
        <f t="shared" ref="F70:F93" si="8">E70/9*12</f>
        <v>46706.946666666663</v>
      </c>
      <c r="G70" s="3">
        <v>62096.98</v>
      </c>
      <c r="H70" s="302">
        <v>66698.960000000006</v>
      </c>
    </row>
    <row r="71" spans="1:9" ht="15" customHeight="1" x14ac:dyDescent="0.25">
      <c r="A71" s="2" t="s">
        <v>1469</v>
      </c>
      <c r="B71" s="2" t="s">
        <v>652</v>
      </c>
      <c r="C71" s="3">
        <v>83482.17</v>
      </c>
      <c r="D71" s="3">
        <v>38102.04</v>
      </c>
      <c r="E71" s="3">
        <v>68353.929999999993</v>
      </c>
      <c r="F71" s="3">
        <f t="shared" si="8"/>
        <v>91138.573333333319</v>
      </c>
      <c r="G71" s="3">
        <v>106454.51</v>
      </c>
      <c r="H71" s="302">
        <v>105659.26</v>
      </c>
    </row>
    <row r="72" spans="1:9" ht="15" customHeight="1" x14ac:dyDescent="0.25">
      <c r="A72" s="2" t="s">
        <v>1470</v>
      </c>
      <c r="B72" s="2" t="s">
        <v>29</v>
      </c>
      <c r="C72" s="3">
        <v>34496.300000000003</v>
      </c>
      <c r="D72" s="3">
        <v>17244.150000000001</v>
      </c>
      <c r="E72" s="3">
        <v>29851.65</v>
      </c>
      <c r="F72" s="3">
        <f t="shared" si="8"/>
        <v>39802.200000000004</v>
      </c>
      <c r="G72" s="3">
        <v>48418.2</v>
      </c>
      <c r="H72" s="302">
        <v>44879.92</v>
      </c>
    </row>
    <row r="73" spans="1:9" ht="15" customHeight="1" x14ac:dyDescent="0.25">
      <c r="A73" s="2" t="s">
        <v>1471</v>
      </c>
      <c r="B73" s="2" t="s">
        <v>128</v>
      </c>
      <c r="C73" s="3">
        <v>1137.44</v>
      </c>
      <c r="D73" s="3">
        <v>425.72</v>
      </c>
      <c r="E73" s="3">
        <v>746.9</v>
      </c>
      <c r="F73" s="3">
        <f t="shared" si="8"/>
        <v>995.86666666666656</v>
      </c>
      <c r="G73" s="3">
        <v>1509.97</v>
      </c>
      <c r="H73" s="302">
        <v>1394.15</v>
      </c>
    </row>
    <row r="74" spans="1:9" ht="15" customHeight="1" x14ac:dyDescent="0.25">
      <c r="A74" s="2" t="s">
        <v>1472</v>
      </c>
      <c r="B74" s="2" t="s">
        <v>33</v>
      </c>
      <c r="C74" s="3">
        <v>17162.46</v>
      </c>
      <c r="D74" s="3">
        <v>6984.52</v>
      </c>
      <c r="E74" s="3">
        <v>12379.75</v>
      </c>
      <c r="F74" s="3">
        <f t="shared" si="8"/>
        <v>16506.333333333336</v>
      </c>
      <c r="G74" s="3">
        <v>20220.11</v>
      </c>
      <c r="H74" s="302">
        <v>17908.02</v>
      </c>
    </row>
    <row r="75" spans="1:9" ht="15" customHeight="1" x14ac:dyDescent="0.25">
      <c r="A75" s="2" t="s">
        <v>1473</v>
      </c>
      <c r="B75" s="2" t="s">
        <v>11</v>
      </c>
      <c r="C75" s="3">
        <v>9621.1299999999992</v>
      </c>
      <c r="D75" s="3">
        <v>4390.6499999999996</v>
      </c>
      <c r="E75" s="3">
        <v>7790.96</v>
      </c>
      <c r="F75" s="3">
        <f t="shared" si="8"/>
        <v>10387.946666666667</v>
      </c>
      <c r="G75" s="3">
        <v>12894.19</v>
      </c>
      <c r="H75" s="302">
        <v>13185.4</v>
      </c>
    </row>
    <row r="76" spans="1:9" ht="15" customHeight="1" x14ac:dyDescent="0.25">
      <c r="A76" s="2" t="s">
        <v>1474</v>
      </c>
      <c r="B76" s="2" t="s">
        <v>13</v>
      </c>
      <c r="C76" s="3">
        <v>187.17</v>
      </c>
      <c r="D76" s="3">
        <v>123.7</v>
      </c>
      <c r="E76" s="3">
        <v>219.78</v>
      </c>
      <c r="F76" s="3">
        <f t="shared" si="8"/>
        <v>293.04000000000002</v>
      </c>
      <c r="G76" s="3">
        <v>247.77</v>
      </c>
      <c r="H76" s="302">
        <v>383.58</v>
      </c>
    </row>
    <row r="77" spans="1:9" ht="15" customHeight="1" x14ac:dyDescent="0.25">
      <c r="A77" s="2" t="s">
        <v>1475</v>
      </c>
      <c r="B77" s="2" t="s">
        <v>286</v>
      </c>
      <c r="C77" s="3">
        <v>84.5</v>
      </c>
      <c r="D77" s="3">
        <v>0</v>
      </c>
      <c r="E77" s="3">
        <v>0</v>
      </c>
      <c r="F77" s="3">
        <f t="shared" si="8"/>
        <v>0</v>
      </c>
      <c r="G77" s="3">
        <v>143</v>
      </c>
      <c r="H77" s="302">
        <v>137.1</v>
      </c>
    </row>
    <row r="78" spans="1:9" ht="15" customHeight="1" x14ac:dyDescent="0.25">
      <c r="A78" s="2" t="s">
        <v>1476</v>
      </c>
      <c r="B78" s="2" t="s">
        <v>37</v>
      </c>
      <c r="C78" s="3">
        <v>429</v>
      </c>
      <c r="D78" s="3">
        <v>178.79</v>
      </c>
      <c r="E78" s="3">
        <v>648.76</v>
      </c>
      <c r="F78" s="3">
        <f t="shared" si="8"/>
        <v>865.01333333333332</v>
      </c>
      <c r="G78" s="3">
        <v>1000</v>
      </c>
      <c r="H78" s="302">
        <v>1000</v>
      </c>
    </row>
    <row r="79" spans="1:9" ht="15" customHeight="1" x14ac:dyDescent="0.25">
      <c r="A79" s="2" t="s">
        <v>1477</v>
      </c>
      <c r="B79" s="2" t="s">
        <v>39</v>
      </c>
      <c r="C79" s="3">
        <v>0</v>
      </c>
      <c r="D79" s="3">
        <v>0</v>
      </c>
      <c r="E79" s="3">
        <v>0</v>
      </c>
      <c r="F79" s="3">
        <f t="shared" si="8"/>
        <v>0</v>
      </c>
      <c r="G79" s="3">
        <v>500</v>
      </c>
      <c r="H79" s="5">
        <v>500</v>
      </c>
    </row>
    <row r="80" spans="1:9" ht="15" customHeight="1" x14ac:dyDescent="0.25">
      <c r="A80" s="2" t="s">
        <v>1478</v>
      </c>
      <c r="B80" s="2" t="s">
        <v>907</v>
      </c>
      <c r="C80" s="3">
        <v>117287.42</v>
      </c>
      <c r="D80" s="3">
        <v>84306.7</v>
      </c>
      <c r="E80" s="3">
        <v>84306.7</v>
      </c>
      <c r="F80" s="3">
        <f t="shared" si="8"/>
        <v>112408.93333333332</v>
      </c>
      <c r="G80" s="3">
        <v>84306.7</v>
      </c>
      <c r="H80" s="5">
        <f>'Central Services'!$C$7</f>
        <v>117287.42</v>
      </c>
    </row>
    <row r="81" spans="1:9" x14ac:dyDescent="0.25">
      <c r="A81" s="2" t="s">
        <v>1479</v>
      </c>
      <c r="B81" s="2" t="s">
        <v>598</v>
      </c>
      <c r="C81" s="3">
        <v>61839.34</v>
      </c>
      <c r="D81" s="3">
        <v>43389.64</v>
      </c>
      <c r="E81" s="3">
        <v>43389.64</v>
      </c>
      <c r="F81" s="3">
        <f t="shared" si="8"/>
        <v>57852.853333333333</v>
      </c>
      <c r="G81" s="3">
        <v>43389.64</v>
      </c>
      <c r="H81" s="5">
        <f>Equipment!$C$18</f>
        <v>61839.343007657655</v>
      </c>
    </row>
    <row r="82" spans="1:9" x14ac:dyDescent="0.25">
      <c r="A82" s="2" t="s">
        <v>1480</v>
      </c>
      <c r="B82" s="2" t="s">
        <v>15</v>
      </c>
      <c r="C82" s="3">
        <v>25133.3</v>
      </c>
      <c r="D82" s="3">
        <v>9072.8700000000008</v>
      </c>
      <c r="E82" s="3">
        <v>9072.8700000000008</v>
      </c>
      <c r="F82" s="3">
        <f t="shared" si="8"/>
        <v>12097.160000000002</v>
      </c>
      <c r="G82" s="3">
        <v>9072.8700000000008</v>
      </c>
      <c r="H82" s="5">
        <f>+'Computer '!$D$20</f>
        <v>25133.298240092216</v>
      </c>
    </row>
    <row r="83" spans="1:9" x14ac:dyDescent="0.25">
      <c r="A83" s="2" t="s">
        <v>1481</v>
      </c>
      <c r="B83" s="2" t="s">
        <v>1482</v>
      </c>
      <c r="C83" s="3">
        <v>1665</v>
      </c>
      <c r="D83" s="3">
        <v>8459.44</v>
      </c>
      <c r="E83" s="3">
        <v>10922.8</v>
      </c>
      <c r="F83" s="3">
        <f t="shared" si="8"/>
        <v>14563.733333333334</v>
      </c>
      <c r="G83" s="3">
        <v>60000</v>
      </c>
      <c r="H83" s="5">
        <v>60000</v>
      </c>
    </row>
    <row r="84" spans="1:9" ht="15" customHeight="1" x14ac:dyDescent="0.25">
      <c r="A84" s="2" t="s">
        <v>1483</v>
      </c>
      <c r="B84" s="2" t="s">
        <v>1484</v>
      </c>
      <c r="C84" s="3">
        <v>34098.04</v>
      </c>
      <c r="D84" s="3">
        <v>14048.07</v>
      </c>
      <c r="E84" s="3">
        <v>26913.26</v>
      </c>
      <c r="F84" s="3">
        <f t="shared" si="8"/>
        <v>35884.346666666665</v>
      </c>
      <c r="G84" s="3">
        <v>21000</v>
      </c>
      <c r="H84" s="5">
        <v>40000</v>
      </c>
      <c r="I84" s="250" t="s">
        <v>3416</v>
      </c>
    </row>
    <row r="85" spans="1:9" ht="15" customHeight="1" x14ac:dyDescent="0.25">
      <c r="A85" s="2" t="s">
        <v>1485</v>
      </c>
      <c r="B85" s="2" t="s">
        <v>59</v>
      </c>
      <c r="C85" s="3">
        <v>258.07</v>
      </c>
      <c r="D85" s="3">
        <v>292.99</v>
      </c>
      <c r="E85" s="3">
        <v>456.03</v>
      </c>
      <c r="F85" s="3">
        <f t="shared" si="8"/>
        <v>608.04</v>
      </c>
      <c r="G85" s="3">
        <v>5000</v>
      </c>
      <c r="H85" s="5">
        <v>0</v>
      </c>
    </row>
    <row r="86" spans="1:9" ht="15" customHeight="1" x14ac:dyDescent="0.25">
      <c r="A86" s="2" t="s">
        <v>1486</v>
      </c>
      <c r="B86" s="2" t="s">
        <v>99</v>
      </c>
      <c r="C86" s="3">
        <v>6255.51</v>
      </c>
      <c r="D86" s="3">
        <v>2204.41</v>
      </c>
      <c r="E86" s="3">
        <v>4211.0600000000004</v>
      </c>
      <c r="F86" s="3">
        <f t="shared" si="8"/>
        <v>5614.7466666666669</v>
      </c>
      <c r="G86" s="3">
        <v>5700</v>
      </c>
      <c r="H86" s="5">
        <f>Phone!$C$19</f>
        <v>7000</v>
      </c>
    </row>
    <row r="87" spans="1:9" ht="15" customHeight="1" x14ac:dyDescent="0.25">
      <c r="A87" s="2" t="s">
        <v>1487</v>
      </c>
      <c r="B87" s="2" t="s">
        <v>17</v>
      </c>
      <c r="C87" s="3">
        <v>0</v>
      </c>
      <c r="D87" s="3">
        <v>0</v>
      </c>
      <c r="E87" s="3">
        <v>0</v>
      </c>
      <c r="F87" s="3">
        <f t="shared" si="8"/>
        <v>0</v>
      </c>
      <c r="G87" s="3">
        <v>500</v>
      </c>
      <c r="H87" s="5">
        <v>0</v>
      </c>
    </row>
    <row r="88" spans="1:9" ht="15" customHeight="1" x14ac:dyDescent="0.25">
      <c r="A88" s="2" t="s">
        <v>1488</v>
      </c>
      <c r="B88" s="2" t="s">
        <v>144</v>
      </c>
      <c r="C88" s="3">
        <v>84.79</v>
      </c>
      <c r="D88" s="3">
        <v>0</v>
      </c>
      <c r="E88" s="3">
        <v>0</v>
      </c>
      <c r="F88" s="3">
        <f t="shared" si="8"/>
        <v>0</v>
      </c>
      <c r="G88" s="3">
        <v>250</v>
      </c>
      <c r="H88" s="5">
        <v>0</v>
      </c>
    </row>
    <row r="89" spans="1:9" ht="15" customHeight="1" x14ac:dyDescent="0.25">
      <c r="A89" s="2" t="s">
        <v>1489</v>
      </c>
      <c r="B89" s="2" t="s">
        <v>917</v>
      </c>
      <c r="C89" s="3">
        <v>968.39</v>
      </c>
      <c r="D89" s="3">
        <v>403.7</v>
      </c>
      <c r="E89" s="3">
        <v>726.66</v>
      </c>
      <c r="F89" s="3">
        <f t="shared" si="8"/>
        <v>968.87999999999988</v>
      </c>
      <c r="G89" s="3">
        <v>1000</v>
      </c>
      <c r="H89" s="5">
        <v>1100</v>
      </c>
    </row>
    <row r="90" spans="1:9" ht="15" customHeight="1" x14ac:dyDescent="0.25">
      <c r="A90" s="2" t="s">
        <v>1490</v>
      </c>
      <c r="B90" s="2" t="s">
        <v>62</v>
      </c>
      <c r="C90" s="3">
        <v>635.59</v>
      </c>
      <c r="D90" s="3">
        <v>243.52</v>
      </c>
      <c r="E90" s="3">
        <v>454.94</v>
      </c>
      <c r="F90" s="3">
        <f t="shared" si="8"/>
        <v>606.5866666666667</v>
      </c>
      <c r="G90" s="3">
        <v>700</v>
      </c>
      <c r="H90" s="5">
        <v>720</v>
      </c>
    </row>
    <row r="91" spans="1:9" ht="15" customHeight="1" x14ac:dyDescent="0.25">
      <c r="A91" s="2" t="s">
        <v>1491</v>
      </c>
      <c r="B91" s="2" t="s">
        <v>1492</v>
      </c>
      <c r="C91" s="3">
        <v>2619.62</v>
      </c>
      <c r="D91" s="3">
        <v>24.36</v>
      </c>
      <c r="E91" s="3">
        <v>48.72</v>
      </c>
      <c r="F91" s="3">
        <f t="shared" si="8"/>
        <v>64.959999999999994</v>
      </c>
      <c r="G91" s="3">
        <v>500</v>
      </c>
      <c r="H91" s="5">
        <v>0</v>
      </c>
    </row>
    <row r="92" spans="1:9" ht="15" customHeight="1" x14ac:dyDescent="0.25">
      <c r="A92" s="2" t="s">
        <v>1493</v>
      </c>
      <c r="B92" s="2" t="s">
        <v>1303</v>
      </c>
      <c r="C92" s="3">
        <v>138148.94</v>
      </c>
      <c r="D92" s="3">
        <v>51456.71</v>
      </c>
      <c r="E92" s="3">
        <v>97664.58</v>
      </c>
      <c r="F92" s="3">
        <f t="shared" si="8"/>
        <v>130219.44</v>
      </c>
      <c r="G92" s="3">
        <v>103770</v>
      </c>
      <c r="H92" s="5">
        <f>G92*1.05</f>
        <v>108958.5</v>
      </c>
    </row>
    <row r="93" spans="1:9" ht="15" customHeight="1" x14ac:dyDescent="0.25">
      <c r="A93" s="2" t="s">
        <v>1494</v>
      </c>
      <c r="B93" s="2" t="s">
        <v>1495</v>
      </c>
      <c r="C93" s="3">
        <v>648347.09</v>
      </c>
      <c r="D93" s="3">
        <v>239725.84</v>
      </c>
      <c r="E93" s="3">
        <v>453148.73</v>
      </c>
      <c r="F93" s="3">
        <f t="shared" si="8"/>
        <v>604198.30666666664</v>
      </c>
      <c r="G93" s="3">
        <v>436693</v>
      </c>
      <c r="H93" s="5">
        <f>G93*1.05</f>
        <v>458527.65</v>
      </c>
    </row>
    <row r="94" spans="1:9" ht="15" customHeight="1" x14ac:dyDescent="0.25">
      <c r="A94" s="1" t="s">
        <v>1306</v>
      </c>
      <c r="B94" s="1" t="s">
        <v>2</v>
      </c>
      <c r="C94" s="4">
        <v>1228108.8799999999</v>
      </c>
      <c r="D94" s="4">
        <v>541235.81999999995</v>
      </c>
      <c r="E94" s="4">
        <f>SUM(E70:E93)</f>
        <v>886337.92999999993</v>
      </c>
      <c r="F94" s="4">
        <f>SUM(F70:F93)</f>
        <v>1181783.9066666667</v>
      </c>
      <c r="G94" s="6">
        <f>SUM(G70:G93)</f>
        <v>1025366.94</v>
      </c>
      <c r="H94" s="6">
        <f>SUM(H70:H93)</f>
        <v>1132312.6012477498</v>
      </c>
    </row>
    <row r="95" spans="1:9" x14ac:dyDescent="0.25">
      <c r="A95" s="1" t="s">
        <v>2</v>
      </c>
      <c r="B95" s="1" t="s">
        <v>2</v>
      </c>
      <c r="C95" s="1" t="s">
        <v>2</v>
      </c>
      <c r="D95" s="1" t="s">
        <v>2</v>
      </c>
      <c r="E95" s="1"/>
      <c r="F95" s="1"/>
      <c r="G95" s="1" t="s">
        <v>2</v>
      </c>
      <c r="H95" s="1" t="s">
        <v>2</v>
      </c>
    </row>
    <row r="96" spans="1:9" ht="15" customHeight="1" x14ac:dyDescent="0.25">
      <c r="A96" s="1" t="s">
        <v>1307</v>
      </c>
      <c r="B96" s="1" t="s">
        <v>2</v>
      </c>
    </row>
    <row r="97" spans="1:8" ht="15" customHeight="1" x14ac:dyDescent="0.25">
      <c r="A97" s="2" t="s">
        <v>1496</v>
      </c>
      <c r="B97" s="2" t="s">
        <v>108</v>
      </c>
      <c r="C97" s="3">
        <v>175028.05</v>
      </c>
      <c r="D97" s="3">
        <v>99088.3</v>
      </c>
      <c r="E97" s="3">
        <v>145195.57999999999</v>
      </c>
      <c r="F97" s="3">
        <f t="shared" ref="F97:F117" si="9">E97/9*12</f>
        <v>193594.10666666666</v>
      </c>
      <c r="G97" s="3">
        <v>170679.92</v>
      </c>
      <c r="H97" s="302">
        <v>179903.09</v>
      </c>
    </row>
    <row r="98" spans="1:8" ht="15" customHeight="1" x14ac:dyDescent="0.25">
      <c r="A98" s="2" t="s">
        <v>1497</v>
      </c>
      <c r="B98" s="2" t="s">
        <v>786</v>
      </c>
      <c r="C98" s="3">
        <v>6624.39</v>
      </c>
      <c r="D98" s="3">
        <v>457.41</v>
      </c>
      <c r="E98" s="3">
        <v>2551.3000000000002</v>
      </c>
      <c r="F98" s="3">
        <f t="shared" si="9"/>
        <v>3401.7333333333336</v>
      </c>
      <c r="G98" s="3">
        <v>5914.57</v>
      </c>
      <c r="H98" s="302">
        <v>6727.99</v>
      </c>
    </row>
    <row r="99" spans="1:8" ht="15" customHeight="1" x14ac:dyDescent="0.25">
      <c r="A99" s="2" t="s">
        <v>1498</v>
      </c>
      <c r="B99" s="2" t="s">
        <v>29</v>
      </c>
      <c r="C99" s="3">
        <v>48220.59</v>
      </c>
      <c r="D99" s="3">
        <v>28194.65</v>
      </c>
      <c r="E99" s="3">
        <v>40385.589999999997</v>
      </c>
      <c r="F99" s="3">
        <f t="shared" si="9"/>
        <v>53847.453333333331</v>
      </c>
      <c r="G99" s="3">
        <v>54515.93</v>
      </c>
      <c r="H99" s="302">
        <f>51595.88+1765.07</f>
        <v>53360.95</v>
      </c>
    </row>
    <row r="100" spans="1:8" ht="15" customHeight="1" x14ac:dyDescent="0.25">
      <c r="A100" s="2" t="s">
        <v>1499</v>
      </c>
      <c r="B100" s="2" t="s">
        <v>128</v>
      </c>
      <c r="C100" s="3">
        <v>4028.14</v>
      </c>
      <c r="D100" s="3">
        <v>1858.18</v>
      </c>
      <c r="E100" s="3">
        <v>2673.66</v>
      </c>
      <c r="F100" s="3">
        <f t="shared" si="9"/>
        <v>3564.88</v>
      </c>
      <c r="G100" s="3">
        <v>4438.3500000000004</v>
      </c>
      <c r="H100" s="302">
        <v>3446.18</v>
      </c>
    </row>
    <row r="101" spans="1:8" ht="15" customHeight="1" x14ac:dyDescent="0.25">
      <c r="A101" s="2" t="s">
        <v>1500</v>
      </c>
      <c r="B101" s="2" t="s">
        <v>33</v>
      </c>
      <c r="C101" s="3">
        <v>23149.99</v>
      </c>
      <c r="D101" s="3">
        <v>11928.2</v>
      </c>
      <c r="E101" s="3">
        <v>17469.71</v>
      </c>
      <c r="F101" s="3">
        <f t="shared" si="9"/>
        <v>23292.946666666663</v>
      </c>
      <c r="G101" s="3">
        <v>19476.259999999998</v>
      </c>
      <c r="H101" s="302">
        <v>18712.919999999998</v>
      </c>
    </row>
    <row r="102" spans="1:8" ht="15" customHeight="1" x14ac:dyDescent="0.25">
      <c r="A102" s="2" t="s">
        <v>1501</v>
      </c>
      <c r="B102" s="2" t="s">
        <v>11</v>
      </c>
      <c r="C102" s="3">
        <v>13194.88</v>
      </c>
      <c r="D102" s="3">
        <v>7465.78</v>
      </c>
      <c r="E102" s="3">
        <v>10945</v>
      </c>
      <c r="F102" s="3">
        <f t="shared" si="9"/>
        <v>14593.333333333332</v>
      </c>
      <c r="G102" s="3">
        <v>13057.01</v>
      </c>
      <c r="H102" s="302">
        <v>13762.59</v>
      </c>
    </row>
    <row r="103" spans="1:8" ht="15" customHeight="1" x14ac:dyDescent="0.25">
      <c r="A103" s="2" t="s">
        <v>1502</v>
      </c>
      <c r="B103" s="2" t="s">
        <v>85</v>
      </c>
      <c r="C103" s="3">
        <v>1513.52</v>
      </c>
      <c r="D103" s="3">
        <v>989.7</v>
      </c>
      <c r="E103" s="3">
        <v>989.7</v>
      </c>
      <c r="F103" s="3">
        <f t="shared" si="9"/>
        <v>1319.6</v>
      </c>
      <c r="G103" s="3">
        <v>1122</v>
      </c>
      <c r="H103" s="302">
        <v>1020</v>
      </c>
    </row>
    <row r="104" spans="1:8" ht="15" customHeight="1" x14ac:dyDescent="0.25">
      <c r="A104" s="2" t="s">
        <v>1503</v>
      </c>
      <c r="B104" s="2" t="s">
        <v>13</v>
      </c>
      <c r="C104" s="3">
        <v>266.74</v>
      </c>
      <c r="D104" s="3">
        <v>217.05</v>
      </c>
      <c r="E104" s="3">
        <v>320.06</v>
      </c>
      <c r="F104" s="3">
        <f t="shared" si="9"/>
        <v>426.74666666666667</v>
      </c>
      <c r="G104" s="3">
        <v>259.58999999999997</v>
      </c>
      <c r="H104" s="302">
        <f>395.13+14.83</f>
        <v>409.96</v>
      </c>
    </row>
    <row r="105" spans="1:8" ht="15" customHeight="1" x14ac:dyDescent="0.25">
      <c r="A105" s="2" t="s">
        <v>1504</v>
      </c>
      <c r="B105" s="2" t="s">
        <v>577</v>
      </c>
      <c r="C105" s="3">
        <v>142.97999999999999</v>
      </c>
      <c r="D105" s="3">
        <v>7.53</v>
      </c>
      <c r="E105" s="3">
        <v>38.25</v>
      </c>
      <c r="F105" s="3">
        <f t="shared" si="9"/>
        <v>51</v>
      </c>
      <c r="G105" s="3">
        <v>157.81</v>
      </c>
      <c r="H105" s="302">
        <v>121.99</v>
      </c>
    </row>
    <row r="106" spans="1:8" ht="15" customHeight="1" x14ac:dyDescent="0.25">
      <c r="A106" s="2" t="s">
        <v>1505</v>
      </c>
      <c r="B106" s="2" t="s">
        <v>579</v>
      </c>
      <c r="C106" s="3">
        <v>838.06</v>
      </c>
      <c r="D106" s="3">
        <v>52.33</v>
      </c>
      <c r="E106" s="3">
        <v>295.14999999999998</v>
      </c>
      <c r="F106" s="3">
        <f t="shared" si="9"/>
        <v>393.5333333333333</v>
      </c>
      <c r="G106" s="3">
        <v>721.1</v>
      </c>
      <c r="H106" s="302">
        <v>699.04</v>
      </c>
    </row>
    <row r="107" spans="1:8" ht="15" customHeight="1" x14ac:dyDescent="0.25">
      <c r="A107" s="2" t="s">
        <v>1506</v>
      </c>
      <c r="B107" s="2" t="s">
        <v>581</v>
      </c>
      <c r="C107" s="3">
        <v>500.36</v>
      </c>
      <c r="D107" s="3">
        <v>34.58</v>
      </c>
      <c r="E107" s="3">
        <v>192.45</v>
      </c>
      <c r="F107" s="3">
        <f t="shared" si="9"/>
        <v>256.60000000000002</v>
      </c>
      <c r="G107" s="3">
        <v>452.46</v>
      </c>
      <c r="H107" s="302">
        <v>514.69000000000005</v>
      </c>
    </row>
    <row r="108" spans="1:8" ht="15" customHeight="1" x14ac:dyDescent="0.25">
      <c r="A108" s="2" t="s">
        <v>1507</v>
      </c>
      <c r="B108" s="2" t="s">
        <v>458</v>
      </c>
      <c r="C108" s="3">
        <v>591.63</v>
      </c>
      <c r="D108" s="3">
        <v>158.32</v>
      </c>
      <c r="E108" s="3">
        <v>174.08</v>
      </c>
      <c r="F108" s="3">
        <f t="shared" si="9"/>
        <v>232.10666666666668</v>
      </c>
      <c r="G108" s="3">
        <v>635.42999999999995</v>
      </c>
      <c r="H108" s="302">
        <v>639.82000000000005</v>
      </c>
    </row>
    <row r="109" spans="1:8" ht="15" customHeight="1" x14ac:dyDescent="0.25">
      <c r="A109" s="2" t="s">
        <v>1508</v>
      </c>
      <c r="B109" s="2" t="s">
        <v>585</v>
      </c>
      <c r="C109" s="3">
        <v>300</v>
      </c>
      <c r="D109" s="3">
        <v>0</v>
      </c>
      <c r="E109" s="3">
        <v>39.33</v>
      </c>
      <c r="F109" s="3">
        <f t="shared" si="9"/>
        <v>52.44</v>
      </c>
      <c r="G109" s="3">
        <v>135</v>
      </c>
      <c r="H109" s="302">
        <v>195</v>
      </c>
    </row>
    <row r="110" spans="1:8" ht="15" customHeight="1" x14ac:dyDescent="0.25">
      <c r="A110" s="2" t="s">
        <v>1509</v>
      </c>
      <c r="B110" s="2" t="s">
        <v>1510</v>
      </c>
      <c r="C110" s="3">
        <v>54742.64</v>
      </c>
      <c r="D110" s="3">
        <v>15655.89</v>
      </c>
      <c r="E110" s="3">
        <v>21405.42</v>
      </c>
      <c r="F110" s="3">
        <f t="shared" si="9"/>
        <v>28540.559999999998</v>
      </c>
      <c r="G110" s="3">
        <v>75000</v>
      </c>
      <c r="H110" s="308">
        <v>75000</v>
      </c>
    </row>
    <row r="111" spans="1:8" ht="15" customHeight="1" x14ac:dyDescent="0.25">
      <c r="A111" s="2" t="s">
        <v>1511</v>
      </c>
      <c r="B111" s="2" t="s">
        <v>905</v>
      </c>
      <c r="C111" s="3">
        <v>4691.6400000000003</v>
      </c>
      <c r="D111" s="3">
        <v>315.51</v>
      </c>
      <c r="E111" s="3">
        <v>342.48</v>
      </c>
      <c r="F111" s="3">
        <f t="shared" si="9"/>
        <v>456.64</v>
      </c>
      <c r="G111" s="3">
        <v>2500</v>
      </c>
      <c r="H111" s="308">
        <v>2500</v>
      </c>
    </row>
    <row r="112" spans="1:8" x14ac:dyDescent="0.25">
      <c r="A112" s="2" t="s">
        <v>1512</v>
      </c>
      <c r="B112" s="2" t="s">
        <v>1513</v>
      </c>
      <c r="C112" s="3">
        <v>3645.42</v>
      </c>
      <c r="D112" s="3">
        <v>611.02</v>
      </c>
      <c r="E112" s="3">
        <v>6430.32</v>
      </c>
      <c r="F112" s="3">
        <f t="shared" si="9"/>
        <v>8573.76</v>
      </c>
      <c r="G112" s="3">
        <v>2500</v>
      </c>
      <c r="H112" s="3">
        <v>2500</v>
      </c>
    </row>
    <row r="113" spans="1:8" x14ac:dyDescent="0.25">
      <c r="A113" s="2" t="s">
        <v>1514</v>
      </c>
      <c r="B113" s="2" t="s">
        <v>1515</v>
      </c>
      <c r="C113" s="3">
        <v>0</v>
      </c>
      <c r="D113" s="3">
        <v>22906.61</v>
      </c>
      <c r="E113" s="3">
        <v>22906.61</v>
      </c>
      <c r="F113" s="3">
        <f t="shared" si="9"/>
        <v>30542.146666666667</v>
      </c>
      <c r="G113" s="3">
        <v>0</v>
      </c>
      <c r="H113" s="3">
        <v>0</v>
      </c>
    </row>
    <row r="114" spans="1:8" ht="15" customHeight="1" x14ac:dyDescent="0.25">
      <c r="A114" s="2" t="s">
        <v>1516</v>
      </c>
      <c r="B114" s="2" t="s">
        <v>17</v>
      </c>
      <c r="C114" s="3">
        <v>0</v>
      </c>
      <c r="D114" s="3">
        <v>0</v>
      </c>
      <c r="E114" s="3">
        <v>0</v>
      </c>
      <c r="F114" s="3">
        <f t="shared" si="9"/>
        <v>0</v>
      </c>
      <c r="G114" s="3">
        <v>0</v>
      </c>
      <c r="H114" s="3">
        <v>0</v>
      </c>
    </row>
    <row r="115" spans="1:8" ht="15" customHeight="1" x14ac:dyDescent="0.25">
      <c r="A115" s="2" t="s">
        <v>1517</v>
      </c>
      <c r="B115" s="2" t="s">
        <v>947</v>
      </c>
      <c r="C115" s="3">
        <v>0</v>
      </c>
      <c r="D115" s="3">
        <v>0</v>
      </c>
      <c r="E115" s="3">
        <v>0</v>
      </c>
      <c r="F115" s="3">
        <f t="shared" si="9"/>
        <v>0</v>
      </c>
      <c r="G115" s="3">
        <v>0</v>
      </c>
      <c r="H115" s="3">
        <v>0</v>
      </c>
    </row>
    <row r="116" spans="1:8" ht="15" customHeight="1" x14ac:dyDescent="0.25">
      <c r="A116" s="2" t="s">
        <v>1518</v>
      </c>
      <c r="B116" s="2" t="s">
        <v>64</v>
      </c>
      <c r="C116" s="3">
        <v>1236.82</v>
      </c>
      <c r="D116" s="3">
        <v>229.65</v>
      </c>
      <c r="E116" s="3">
        <v>413.37</v>
      </c>
      <c r="F116" s="3">
        <f t="shared" si="9"/>
        <v>551.16</v>
      </c>
      <c r="G116" s="3">
        <v>2500</v>
      </c>
      <c r="H116" s="3">
        <v>2500</v>
      </c>
    </row>
    <row r="117" spans="1:8" ht="15" customHeight="1" x14ac:dyDescent="0.25">
      <c r="A117" s="2" t="s">
        <v>1519</v>
      </c>
      <c r="B117" s="2" t="s">
        <v>956</v>
      </c>
      <c r="C117" s="3">
        <v>490</v>
      </c>
      <c r="D117" s="3">
        <v>0</v>
      </c>
      <c r="E117" s="3">
        <v>0</v>
      </c>
      <c r="F117" s="3">
        <f t="shared" si="9"/>
        <v>0</v>
      </c>
      <c r="G117" s="3">
        <v>1200</v>
      </c>
      <c r="H117" s="3">
        <v>1200</v>
      </c>
    </row>
    <row r="118" spans="1:8" ht="15" customHeight="1" x14ac:dyDescent="0.25">
      <c r="A118" s="1" t="s">
        <v>1336</v>
      </c>
      <c r="B118" s="1" t="s">
        <v>2</v>
      </c>
      <c r="C118" s="4">
        <v>339205.85</v>
      </c>
      <c r="D118" s="4">
        <v>190170.71</v>
      </c>
      <c r="E118" s="4">
        <f>SUM(E97:E117)</f>
        <v>272768.06</v>
      </c>
      <c r="F118" s="4">
        <f>SUM(F97:F117)</f>
        <v>363690.74666666659</v>
      </c>
      <c r="G118" s="6">
        <f>SUM(G97:G117)</f>
        <v>355265.43000000005</v>
      </c>
      <c r="H118" s="6">
        <f>SUM(H97:H117)</f>
        <v>363214.22</v>
      </c>
    </row>
    <row r="119" spans="1:8" x14ac:dyDescent="0.25">
      <c r="A119" s="1" t="s">
        <v>2</v>
      </c>
      <c r="B119" s="1" t="s">
        <v>2</v>
      </c>
      <c r="C119" s="1" t="s">
        <v>2</v>
      </c>
      <c r="D119" s="1" t="s">
        <v>2</v>
      </c>
      <c r="E119" s="1"/>
      <c r="F119" s="1"/>
      <c r="G119" s="1" t="s">
        <v>2</v>
      </c>
      <c r="H119" s="1" t="s">
        <v>2</v>
      </c>
    </row>
    <row r="120" spans="1:8" ht="15" customHeight="1" x14ac:dyDescent="0.25">
      <c r="A120" s="1" t="s">
        <v>1520</v>
      </c>
      <c r="B120" s="1" t="s">
        <v>2</v>
      </c>
    </row>
    <row r="121" spans="1:8" ht="15" customHeight="1" x14ac:dyDescent="0.25">
      <c r="A121" s="2" t="s">
        <v>1521</v>
      </c>
      <c r="B121" s="2" t="s">
        <v>144</v>
      </c>
      <c r="C121" s="3">
        <v>0</v>
      </c>
      <c r="D121" s="3">
        <v>0</v>
      </c>
      <c r="E121" s="3">
        <v>0</v>
      </c>
      <c r="F121" s="3">
        <f t="shared" ref="F121:F123" si="10">E121/9*12</f>
        <v>0</v>
      </c>
      <c r="G121" s="3">
        <v>0</v>
      </c>
      <c r="H121" s="5">
        <v>0</v>
      </c>
    </row>
    <row r="122" spans="1:8" ht="15" customHeight="1" x14ac:dyDescent="0.25">
      <c r="A122" s="2" t="s">
        <v>1522</v>
      </c>
      <c r="B122" s="2" t="s">
        <v>1523</v>
      </c>
      <c r="C122" s="3">
        <v>446408.78</v>
      </c>
      <c r="D122" s="3">
        <v>4142</v>
      </c>
      <c r="E122" s="3">
        <v>126831.29</v>
      </c>
      <c r="F122" s="3">
        <f t="shared" si="10"/>
        <v>169108.38666666666</v>
      </c>
      <c r="G122" s="3">
        <v>135000</v>
      </c>
      <c r="H122" s="5">
        <v>125000</v>
      </c>
    </row>
    <row r="123" spans="1:8" ht="15" customHeight="1" x14ac:dyDescent="0.25">
      <c r="A123" s="2" t="s">
        <v>1524</v>
      </c>
      <c r="B123" s="2" t="s">
        <v>1525</v>
      </c>
      <c r="C123" s="3">
        <v>5194.57</v>
      </c>
      <c r="D123" s="3">
        <v>3140.37</v>
      </c>
      <c r="E123" s="3">
        <v>3140.37</v>
      </c>
      <c r="F123" s="3">
        <f t="shared" si="10"/>
        <v>4187.16</v>
      </c>
      <c r="G123" s="3">
        <v>7000</v>
      </c>
      <c r="H123" s="5">
        <v>8000</v>
      </c>
    </row>
    <row r="124" spans="1:8" ht="15" customHeight="1" x14ac:dyDescent="0.25">
      <c r="A124" s="1" t="s">
        <v>1526</v>
      </c>
      <c r="B124" s="1" t="s">
        <v>2</v>
      </c>
      <c r="C124" s="4">
        <v>451603.35</v>
      </c>
      <c r="D124" s="4">
        <v>7282.37</v>
      </c>
      <c r="E124" s="4">
        <f>SUM(E121:E123)</f>
        <v>129971.65999999999</v>
      </c>
      <c r="F124" s="4">
        <f>SUM(F121:F123)</f>
        <v>173295.54666666666</v>
      </c>
      <c r="G124" s="6">
        <f>SUM(G121:G123)</f>
        <v>142000</v>
      </c>
      <c r="H124" s="6">
        <f>SUM(H121:H123)</f>
        <v>133000</v>
      </c>
    </row>
    <row r="125" spans="1:8" x14ac:dyDescent="0.25">
      <c r="A125" s="1" t="s">
        <v>2</v>
      </c>
      <c r="B125" s="1" t="s">
        <v>2</v>
      </c>
      <c r="C125" s="1" t="s">
        <v>2</v>
      </c>
      <c r="D125" s="1" t="s">
        <v>2</v>
      </c>
      <c r="E125" s="1"/>
      <c r="F125" s="1"/>
      <c r="G125" s="1" t="s">
        <v>2</v>
      </c>
      <c r="H125" s="1" t="s">
        <v>2</v>
      </c>
    </row>
    <row r="126" spans="1:8" ht="15" customHeight="1" x14ac:dyDescent="0.25">
      <c r="A126" s="1" t="s">
        <v>1527</v>
      </c>
      <c r="B126" s="1" t="s">
        <v>2</v>
      </c>
    </row>
    <row r="127" spans="1:8" ht="15" customHeight="1" x14ac:dyDescent="0.25">
      <c r="A127" s="2" t="s">
        <v>1528</v>
      </c>
      <c r="B127" s="2" t="s">
        <v>786</v>
      </c>
      <c r="C127" s="3">
        <v>34753.449999999997</v>
      </c>
      <c r="D127" s="3">
        <v>18342.689999999999</v>
      </c>
      <c r="E127" s="3">
        <v>27920.52</v>
      </c>
      <c r="F127" s="3">
        <f t="shared" ref="F127:F162" si="11">E127/9*12</f>
        <v>37227.360000000001</v>
      </c>
      <c r="G127" s="3">
        <v>0</v>
      </c>
      <c r="H127" s="302">
        <f>F127*1.055</f>
        <v>39274.864799999996</v>
      </c>
    </row>
    <row r="128" spans="1:8" ht="15" customHeight="1" x14ac:dyDescent="0.25">
      <c r="A128" s="2" t="s">
        <v>1529</v>
      </c>
      <c r="B128" s="2" t="s">
        <v>108</v>
      </c>
      <c r="C128" s="3">
        <v>218452.35</v>
      </c>
      <c r="D128" s="3">
        <v>102113.64</v>
      </c>
      <c r="E128" s="3">
        <v>179967.73</v>
      </c>
      <c r="F128" s="3">
        <f t="shared" si="11"/>
        <v>239956.97333333336</v>
      </c>
      <c r="G128" s="3">
        <v>258550.04</v>
      </c>
      <c r="H128" s="302">
        <v>277099.07</v>
      </c>
    </row>
    <row r="129" spans="1:9" ht="15" customHeight="1" x14ac:dyDescent="0.25">
      <c r="A129" s="2" t="s">
        <v>1530</v>
      </c>
      <c r="B129" s="2" t="s">
        <v>1341</v>
      </c>
      <c r="C129" s="3">
        <v>0</v>
      </c>
      <c r="D129" s="3">
        <v>0</v>
      </c>
      <c r="E129" s="3">
        <v>0</v>
      </c>
      <c r="F129" s="3">
        <f t="shared" si="11"/>
        <v>0</v>
      </c>
      <c r="G129" s="3">
        <v>2584</v>
      </c>
      <c r="H129" s="302">
        <f t="shared" ref="H129" si="12">F129*1.055</f>
        <v>0</v>
      </c>
    </row>
    <row r="130" spans="1:9" ht="15" customHeight="1" x14ac:dyDescent="0.25">
      <c r="A130" s="2" t="s">
        <v>1531</v>
      </c>
      <c r="B130" s="2" t="s">
        <v>29</v>
      </c>
      <c r="C130" s="3">
        <v>59663.98</v>
      </c>
      <c r="D130" s="3">
        <v>29962.43</v>
      </c>
      <c r="E130" s="3">
        <v>52131.08</v>
      </c>
      <c r="F130" s="3">
        <f t="shared" si="11"/>
        <v>69508.106666666674</v>
      </c>
      <c r="G130" s="3">
        <v>67370.98</v>
      </c>
      <c r="H130" s="302">
        <v>70167.88</v>
      </c>
    </row>
    <row r="131" spans="1:9" ht="15" customHeight="1" x14ac:dyDescent="0.25">
      <c r="A131" s="2" t="s">
        <v>1532</v>
      </c>
      <c r="B131" s="2" t="s">
        <v>128</v>
      </c>
      <c r="C131" s="3">
        <v>4875.83</v>
      </c>
      <c r="D131" s="3">
        <v>1674.85</v>
      </c>
      <c r="E131" s="3">
        <v>3045.41</v>
      </c>
      <c r="F131" s="3">
        <f t="shared" si="11"/>
        <v>4060.5466666666662</v>
      </c>
      <c r="G131" s="3">
        <v>6904.1</v>
      </c>
      <c r="H131" s="302">
        <v>4574.58</v>
      </c>
    </row>
    <row r="132" spans="1:9" ht="15" customHeight="1" x14ac:dyDescent="0.25">
      <c r="A132" s="2" t="s">
        <v>1533</v>
      </c>
      <c r="B132" s="2" t="s">
        <v>33</v>
      </c>
      <c r="C132" s="3">
        <v>24379.91</v>
      </c>
      <c r="D132" s="3">
        <v>10295.31</v>
      </c>
      <c r="E132" s="3">
        <v>18229.68</v>
      </c>
      <c r="F132" s="3">
        <f t="shared" si="11"/>
        <v>24306.239999999998</v>
      </c>
      <c r="G132" s="3">
        <v>30904.18</v>
      </c>
      <c r="H132" s="302">
        <v>28790.6</v>
      </c>
    </row>
    <row r="133" spans="1:9" ht="15" customHeight="1" x14ac:dyDescent="0.25">
      <c r="A133" s="2" t="s">
        <v>1534</v>
      </c>
      <c r="B133" s="2" t="s">
        <v>11</v>
      </c>
      <c r="C133" s="3">
        <v>16451.79</v>
      </c>
      <c r="D133" s="3">
        <v>7685.62</v>
      </c>
      <c r="E133" s="3">
        <v>13547.78</v>
      </c>
      <c r="F133" s="3">
        <f t="shared" si="11"/>
        <v>18063.706666666669</v>
      </c>
      <c r="G133" s="3">
        <v>19976.75</v>
      </c>
      <c r="H133" s="302">
        <v>21198.080000000002</v>
      </c>
    </row>
    <row r="134" spans="1:9" ht="15" customHeight="1" x14ac:dyDescent="0.25">
      <c r="A134" s="2" t="s">
        <v>1535</v>
      </c>
      <c r="B134" s="2" t="s">
        <v>1347</v>
      </c>
      <c r="C134" s="3">
        <v>3921.86</v>
      </c>
      <c r="D134" s="3">
        <v>1668.61</v>
      </c>
      <c r="E134" s="3">
        <v>2831.99</v>
      </c>
      <c r="F134" s="3">
        <f t="shared" si="11"/>
        <v>3775.9866666666667</v>
      </c>
      <c r="G134" s="3">
        <v>0</v>
      </c>
      <c r="H134" s="302">
        <f t="shared" ref="H134:H138" si="13">F134*1.055</f>
        <v>3983.6659333333332</v>
      </c>
    </row>
    <row r="135" spans="1:9" ht="15" customHeight="1" x14ac:dyDescent="0.25">
      <c r="A135" s="2" t="s">
        <v>1536</v>
      </c>
      <c r="B135" s="2" t="s">
        <v>13</v>
      </c>
      <c r="C135" s="3">
        <v>370.77</v>
      </c>
      <c r="D135" s="3">
        <v>256.23</v>
      </c>
      <c r="E135" s="3">
        <v>441.89</v>
      </c>
      <c r="F135" s="3">
        <f t="shared" si="11"/>
        <v>589.18666666666661</v>
      </c>
      <c r="G135" s="3">
        <v>383.87</v>
      </c>
      <c r="H135" s="302">
        <v>608.79</v>
      </c>
    </row>
    <row r="136" spans="1:9" ht="15" customHeight="1" x14ac:dyDescent="0.25">
      <c r="A136" s="2" t="s">
        <v>1537</v>
      </c>
      <c r="B136" s="2" t="s">
        <v>577</v>
      </c>
      <c r="C136" s="3">
        <v>641.39</v>
      </c>
      <c r="D136" s="3">
        <v>241.09</v>
      </c>
      <c r="E136" s="3">
        <v>363.12</v>
      </c>
      <c r="F136" s="3">
        <f t="shared" si="11"/>
        <v>484.15999999999997</v>
      </c>
      <c r="G136" s="3">
        <v>0</v>
      </c>
      <c r="H136" s="302">
        <f t="shared" si="13"/>
        <v>510.78879999999992</v>
      </c>
    </row>
    <row r="137" spans="1:9" ht="15" customHeight="1" x14ac:dyDescent="0.25">
      <c r="A137" s="2" t="s">
        <v>1538</v>
      </c>
      <c r="B137" s="2" t="s">
        <v>579</v>
      </c>
      <c r="C137" s="3">
        <v>3962.01</v>
      </c>
      <c r="D137" s="3">
        <v>1908.65</v>
      </c>
      <c r="E137" s="3">
        <v>2885.77</v>
      </c>
      <c r="F137" s="3">
        <f t="shared" si="11"/>
        <v>3847.6933333333336</v>
      </c>
      <c r="G137" s="3">
        <v>0</v>
      </c>
      <c r="H137" s="302">
        <f t="shared" si="13"/>
        <v>4059.3164666666667</v>
      </c>
    </row>
    <row r="138" spans="1:9" ht="15" customHeight="1" x14ac:dyDescent="0.25">
      <c r="A138" s="2" t="s">
        <v>1539</v>
      </c>
      <c r="B138" s="2" t="s">
        <v>581</v>
      </c>
      <c r="C138" s="3">
        <v>2621.31</v>
      </c>
      <c r="D138" s="3">
        <v>1383.35</v>
      </c>
      <c r="E138" s="3">
        <v>2105.5</v>
      </c>
      <c r="F138" s="3">
        <f t="shared" si="11"/>
        <v>2807.3333333333335</v>
      </c>
      <c r="G138" s="3">
        <v>0</v>
      </c>
      <c r="H138" s="302">
        <f t="shared" si="13"/>
        <v>2961.7366666666667</v>
      </c>
    </row>
    <row r="139" spans="1:9" ht="15" customHeight="1" x14ac:dyDescent="0.25">
      <c r="A139" s="2" t="s">
        <v>1540</v>
      </c>
      <c r="B139" s="2" t="s">
        <v>458</v>
      </c>
      <c r="C139" s="3">
        <v>789.84</v>
      </c>
      <c r="D139" s="3">
        <v>268.69</v>
      </c>
      <c r="E139" s="3">
        <v>325.95</v>
      </c>
      <c r="F139" s="3">
        <f t="shared" si="11"/>
        <v>434.6</v>
      </c>
      <c r="G139" s="3">
        <v>825</v>
      </c>
      <c r="H139" s="302">
        <v>825</v>
      </c>
    </row>
    <row r="140" spans="1:9" x14ac:dyDescent="0.25">
      <c r="A140" s="2" t="s">
        <v>1541</v>
      </c>
      <c r="B140" s="2" t="s">
        <v>1542</v>
      </c>
      <c r="C140" s="3">
        <v>31421.84</v>
      </c>
      <c r="D140" s="3">
        <v>32071.93</v>
      </c>
      <c r="E140" s="3">
        <v>57479.17</v>
      </c>
      <c r="F140" s="3">
        <f t="shared" si="11"/>
        <v>76638.893333333341</v>
      </c>
      <c r="G140" s="3">
        <v>80000</v>
      </c>
      <c r="H140" s="302">
        <v>80000</v>
      </c>
    </row>
    <row r="141" spans="1:9" ht="15" customHeight="1" x14ac:dyDescent="0.25">
      <c r="A141" s="2" t="s">
        <v>1543</v>
      </c>
      <c r="B141" s="2" t="s">
        <v>1544</v>
      </c>
      <c r="C141" s="3">
        <v>12243.44</v>
      </c>
      <c r="D141" s="3">
        <v>8382.59</v>
      </c>
      <c r="E141" s="3">
        <v>8641.11</v>
      </c>
      <c r="F141" s="3">
        <f t="shared" si="11"/>
        <v>11521.480000000001</v>
      </c>
      <c r="G141" s="3">
        <v>10000</v>
      </c>
      <c r="H141" s="302">
        <v>12000</v>
      </c>
    </row>
    <row r="142" spans="1:9" ht="15" customHeight="1" x14ac:dyDescent="0.25">
      <c r="A142" s="2" t="s">
        <v>1545</v>
      </c>
      <c r="B142" s="2" t="s">
        <v>1546</v>
      </c>
      <c r="C142" s="3">
        <v>0</v>
      </c>
      <c r="D142" s="3">
        <v>0</v>
      </c>
      <c r="E142" s="3">
        <v>0</v>
      </c>
      <c r="F142" s="3">
        <f t="shared" si="11"/>
        <v>0</v>
      </c>
      <c r="G142" s="3">
        <v>0</v>
      </c>
      <c r="H142" s="302">
        <v>0</v>
      </c>
    </row>
    <row r="143" spans="1:9" ht="15" customHeight="1" x14ac:dyDescent="0.25">
      <c r="A143" s="2" t="s">
        <v>1547</v>
      </c>
      <c r="B143" s="2" t="s">
        <v>1548</v>
      </c>
      <c r="C143" s="3">
        <v>109988.14</v>
      </c>
      <c r="D143" s="3">
        <v>0</v>
      </c>
      <c r="E143" s="3">
        <v>0</v>
      </c>
      <c r="F143" s="3">
        <f t="shared" si="11"/>
        <v>0</v>
      </c>
      <c r="G143" s="3">
        <v>50000</v>
      </c>
      <c r="H143" s="302">
        <v>0</v>
      </c>
    </row>
    <row r="144" spans="1:9" x14ac:dyDescent="0.25">
      <c r="A144" s="2" t="s">
        <v>1549</v>
      </c>
      <c r="B144" s="2" t="s">
        <v>1550</v>
      </c>
      <c r="C144" s="3">
        <v>79.61</v>
      </c>
      <c r="D144" s="3">
        <v>0</v>
      </c>
      <c r="E144" s="3">
        <v>0</v>
      </c>
      <c r="F144" s="3">
        <f t="shared" si="11"/>
        <v>0</v>
      </c>
      <c r="G144" s="3">
        <v>0</v>
      </c>
      <c r="H144" s="5">
        <v>5000</v>
      </c>
      <c r="I144" s="250" t="s">
        <v>3444</v>
      </c>
    </row>
    <row r="145" spans="1:9" ht="15" customHeight="1" x14ac:dyDescent="0.25">
      <c r="A145" s="2" t="s">
        <v>1551</v>
      </c>
      <c r="B145" s="2" t="s">
        <v>1370</v>
      </c>
      <c r="C145" s="3">
        <v>2610.0100000000002</v>
      </c>
      <c r="D145" s="3">
        <v>1165.45</v>
      </c>
      <c r="E145" s="3">
        <v>4688.3999999999996</v>
      </c>
      <c r="F145" s="3">
        <f t="shared" si="11"/>
        <v>6251.1999999999989</v>
      </c>
      <c r="G145" s="3">
        <v>2500</v>
      </c>
      <c r="H145" s="5">
        <v>3000</v>
      </c>
    </row>
    <row r="146" spans="1:9" x14ac:dyDescent="0.25">
      <c r="A146" s="2" t="s">
        <v>1552</v>
      </c>
      <c r="B146" s="2" t="s">
        <v>1553</v>
      </c>
      <c r="C146" s="3">
        <v>51940.959999999999</v>
      </c>
      <c r="D146" s="3">
        <v>11770.31</v>
      </c>
      <c r="E146" s="3">
        <v>22040.53</v>
      </c>
      <c r="F146" s="3">
        <f t="shared" si="11"/>
        <v>29387.373333333329</v>
      </c>
      <c r="G146" s="3">
        <v>40000</v>
      </c>
      <c r="H146" s="5">
        <v>40000</v>
      </c>
    </row>
    <row r="147" spans="1:9" ht="15" customHeight="1" x14ac:dyDescent="0.25">
      <c r="A147" s="2" t="s">
        <v>1554</v>
      </c>
      <c r="B147" s="2" t="s">
        <v>1555</v>
      </c>
      <c r="C147" s="3">
        <v>696.42</v>
      </c>
      <c r="D147" s="3">
        <v>612</v>
      </c>
      <c r="E147" s="3">
        <v>629.13</v>
      </c>
      <c r="F147" s="3">
        <f t="shared" si="11"/>
        <v>838.84</v>
      </c>
      <c r="G147" s="3">
        <v>5000</v>
      </c>
      <c r="H147" s="5">
        <v>5000</v>
      </c>
    </row>
    <row r="148" spans="1:9" ht="15" customHeight="1" x14ac:dyDescent="0.25">
      <c r="A148" s="2" t="s">
        <v>1556</v>
      </c>
      <c r="B148" s="2" t="s">
        <v>604</v>
      </c>
      <c r="C148" s="3">
        <v>949.82</v>
      </c>
      <c r="D148" s="3">
        <v>0</v>
      </c>
      <c r="E148" s="3">
        <v>0</v>
      </c>
      <c r="F148" s="3">
        <f t="shared" si="11"/>
        <v>0</v>
      </c>
      <c r="G148" s="3">
        <v>2500</v>
      </c>
      <c r="H148" s="5">
        <v>5000</v>
      </c>
      <c r="I148" s="250" t="s">
        <v>3443</v>
      </c>
    </row>
    <row r="149" spans="1:9" ht="15" customHeight="1" x14ac:dyDescent="0.25">
      <c r="A149" s="2" t="s">
        <v>1557</v>
      </c>
      <c r="B149" s="2" t="s">
        <v>57</v>
      </c>
      <c r="C149" s="3">
        <v>3307.7</v>
      </c>
      <c r="D149" s="3">
        <v>1340.68</v>
      </c>
      <c r="E149" s="3">
        <v>3027.08</v>
      </c>
      <c r="F149" s="3">
        <f t="shared" si="11"/>
        <v>4036.1066666666666</v>
      </c>
      <c r="G149" s="3">
        <v>4000</v>
      </c>
      <c r="H149" s="5">
        <f>Phone!$C$20</f>
        <v>4000</v>
      </c>
    </row>
    <row r="150" spans="1:9" ht="15" customHeight="1" x14ac:dyDescent="0.25">
      <c r="A150" s="2" t="s">
        <v>1558</v>
      </c>
      <c r="B150" s="2" t="s">
        <v>17</v>
      </c>
      <c r="C150" s="3">
        <v>315.18</v>
      </c>
      <c r="D150" s="3">
        <v>0</v>
      </c>
      <c r="E150" s="3">
        <v>0</v>
      </c>
      <c r="F150" s="3">
        <f t="shared" si="11"/>
        <v>0</v>
      </c>
      <c r="G150" s="3">
        <v>1200</v>
      </c>
      <c r="H150" s="5">
        <v>1500</v>
      </c>
    </row>
    <row r="151" spans="1:9" ht="15" customHeight="1" x14ac:dyDescent="0.25">
      <c r="A151" s="2" t="s">
        <v>1559</v>
      </c>
      <c r="B151" s="2" t="s">
        <v>303</v>
      </c>
      <c r="C151" s="3">
        <v>747.55</v>
      </c>
      <c r="D151" s="3">
        <v>314.2</v>
      </c>
      <c r="E151" s="3">
        <v>558.08000000000004</v>
      </c>
      <c r="F151" s="3">
        <f t="shared" si="11"/>
        <v>744.10666666666668</v>
      </c>
      <c r="G151" s="3">
        <v>700</v>
      </c>
      <c r="H151" s="5">
        <f>F151*1.2956</f>
        <v>964.06459733333338</v>
      </c>
    </row>
    <row r="152" spans="1:9" ht="15" customHeight="1" x14ac:dyDescent="0.25">
      <c r="A152" s="2" t="s">
        <v>1560</v>
      </c>
      <c r="B152" s="2" t="s">
        <v>305</v>
      </c>
      <c r="C152" s="3">
        <v>283773.26</v>
      </c>
      <c r="D152" s="3">
        <v>89713.89</v>
      </c>
      <c r="E152" s="3">
        <v>133922.48000000001</v>
      </c>
      <c r="F152" s="3">
        <f t="shared" si="11"/>
        <v>178563.30666666667</v>
      </c>
      <c r="G152" s="3">
        <v>275000</v>
      </c>
      <c r="H152" s="5">
        <f>F152*1.1482</f>
        <v>205026.38871466668</v>
      </c>
    </row>
    <row r="153" spans="1:9" ht="15" customHeight="1" x14ac:dyDescent="0.25">
      <c r="A153" s="2" t="s">
        <v>1561</v>
      </c>
      <c r="B153" s="2" t="s">
        <v>1562</v>
      </c>
      <c r="C153" s="3">
        <v>504</v>
      </c>
      <c r="D153" s="3">
        <v>167.47</v>
      </c>
      <c r="E153" s="3">
        <v>334.16</v>
      </c>
      <c r="F153" s="3">
        <f t="shared" si="11"/>
        <v>445.54666666666674</v>
      </c>
      <c r="G153" s="3">
        <v>500</v>
      </c>
      <c r="H153" s="5">
        <v>600</v>
      </c>
    </row>
    <row r="154" spans="1:9" ht="15" customHeight="1" x14ac:dyDescent="0.25">
      <c r="A154" s="2" t="s">
        <v>1563</v>
      </c>
      <c r="B154" s="2" t="s">
        <v>1564</v>
      </c>
      <c r="C154" s="3">
        <v>0</v>
      </c>
      <c r="D154" s="3">
        <v>0</v>
      </c>
      <c r="E154" s="3">
        <v>54.39</v>
      </c>
      <c r="F154" s="3">
        <f t="shared" si="11"/>
        <v>72.52</v>
      </c>
      <c r="G154" s="3">
        <v>500</v>
      </c>
      <c r="H154" s="5">
        <v>500</v>
      </c>
    </row>
    <row r="155" spans="1:9" ht="15" customHeight="1" x14ac:dyDescent="0.25">
      <c r="A155" s="2" t="s">
        <v>1565</v>
      </c>
      <c r="B155" s="2" t="s">
        <v>947</v>
      </c>
      <c r="C155" s="3">
        <v>372.98</v>
      </c>
      <c r="D155" s="3">
        <v>151.58000000000001</v>
      </c>
      <c r="E155" s="3">
        <v>359.51</v>
      </c>
      <c r="F155" s="3">
        <f t="shared" si="11"/>
        <v>479.34666666666669</v>
      </c>
      <c r="G155" s="3">
        <v>25000</v>
      </c>
      <c r="H155" s="5">
        <v>25000</v>
      </c>
    </row>
    <row r="156" spans="1:9" x14ac:dyDescent="0.25">
      <c r="A156" s="2" t="s">
        <v>1566</v>
      </c>
      <c r="B156" s="2" t="s">
        <v>1567</v>
      </c>
      <c r="C156" s="3">
        <v>9463.18</v>
      </c>
      <c r="D156" s="3">
        <v>817.62</v>
      </c>
      <c r="E156" s="3">
        <v>817.62</v>
      </c>
      <c r="F156" s="3">
        <f t="shared" si="11"/>
        <v>1090.1599999999999</v>
      </c>
      <c r="G156" s="3">
        <v>25000</v>
      </c>
      <c r="H156" s="5">
        <v>50000</v>
      </c>
      <c r="I156" s="250" t="s">
        <v>3439</v>
      </c>
    </row>
    <row r="157" spans="1:9" ht="15" customHeight="1" x14ac:dyDescent="0.25">
      <c r="A157" s="2" t="s">
        <v>1568</v>
      </c>
      <c r="B157" s="2" t="s">
        <v>1569</v>
      </c>
      <c r="C157" s="3">
        <v>0</v>
      </c>
      <c r="D157" s="3">
        <v>0</v>
      </c>
      <c r="E157" s="3">
        <v>0</v>
      </c>
      <c r="F157" s="3">
        <f t="shared" si="11"/>
        <v>0</v>
      </c>
      <c r="G157" s="3">
        <v>0</v>
      </c>
      <c r="H157" s="5">
        <v>0</v>
      </c>
    </row>
    <row r="158" spans="1:9" ht="15" customHeight="1" x14ac:dyDescent="0.25">
      <c r="A158" s="2" t="s">
        <v>1570</v>
      </c>
      <c r="B158" s="2" t="s">
        <v>64</v>
      </c>
      <c r="C158" s="3">
        <v>1726.86</v>
      </c>
      <c r="D158" s="3">
        <v>1388.46</v>
      </c>
      <c r="E158" s="3">
        <v>1651.14</v>
      </c>
      <c r="F158" s="3">
        <f t="shared" si="11"/>
        <v>2201.52</v>
      </c>
      <c r="G158" s="3">
        <v>1200</v>
      </c>
      <c r="H158" s="5">
        <v>2000</v>
      </c>
    </row>
    <row r="159" spans="1:9" ht="15" customHeight="1" x14ac:dyDescent="0.25">
      <c r="A159" s="2" t="s">
        <v>1571</v>
      </c>
      <c r="B159" s="2" t="s">
        <v>1572</v>
      </c>
      <c r="C159" s="3">
        <v>14043.81</v>
      </c>
      <c r="D159" s="3">
        <v>6352.56</v>
      </c>
      <c r="E159" s="3">
        <v>13415.76</v>
      </c>
      <c r="F159" s="3">
        <f t="shared" si="11"/>
        <v>17887.68</v>
      </c>
      <c r="G159" s="3">
        <v>16000</v>
      </c>
      <c r="H159" s="5">
        <v>16000</v>
      </c>
    </row>
    <row r="160" spans="1:9" ht="15" customHeight="1" x14ac:dyDescent="0.25">
      <c r="A160" s="2" t="s">
        <v>1573</v>
      </c>
      <c r="B160" s="2" t="s">
        <v>624</v>
      </c>
      <c r="C160" s="3">
        <v>811.31</v>
      </c>
      <c r="D160" s="3">
        <v>857.15</v>
      </c>
      <c r="E160" s="3">
        <v>1177.83</v>
      </c>
      <c r="F160" s="3">
        <f t="shared" si="11"/>
        <v>1570.44</v>
      </c>
      <c r="G160" s="3">
        <v>2000</v>
      </c>
      <c r="H160" s="5">
        <v>2500</v>
      </c>
    </row>
    <row r="161" spans="1:8" ht="15" customHeight="1" x14ac:dyDescent="0.25">
      <c r="A161" s="2" t="s">
        <v>1574</v>
      </c>
      <c r="B161" s="2" t="s">
        <v>1575</v>
      </c>
      <c r="C161" s="3">
        <v>1817.3</v>
      </c>
      <c r="D161" s="3">
        <v>20</v>
      </c>
      <c r="E161" s="3">
        <v>730.71</v>
      </c>
      <c r="F161" s="3">
        <f t="shared" si="11"/>
        <v>974.28</v>
      </c>
      <c r="G161" s="3">
        <v>3000</v>
      </c>
      <c r="H161" s="5">
        <v>3000</v>
      </c>
    </row>
    <row r="162" spans="1:8" ht="15" customHeight="1" x14ac:dyDescent="0.25">
      <c r="A162" s="2" t="s">
        <v>1576</v>
      </c>
      <c r="B162" s="2" t="s">
        <v>1577</v>
      </c>
      <c r="C162" s="3">
        <v>1208</v>
      </c>
      <c r="D162" s="3">
        <v>0</v>
      </c>
      <c r="E162" s="3">
        <v>0</v>
      </c>
      <c r="F162" s="3">
        <f t="shared" si="11"/>
        <v>0</v>
      </c>
      <c r="G162" s="3">
        <v>1500</v>
      </c>
      <c r="H162" s="5">
        <v>1500</v>
      </c>
    </row>
    <row r="163" spans="1:8" ht="15" customHeight="1" x14ac:dyDescent="0.25">
      <c r="A163" s="1" t="s">
        <v>1578</v>
      </c>
      <c r="B163" s="1" t="s">
        <v>2</v>
      </c>
      <c r="C163" s="4">
        <v>898905.86</v>
      </c>
      <c r="D163" s="4">
        <v>330927.05</v>
      </c>
      <c r="E163" s="4">
        <f>SUM(E127:E162)</f>
        <v>553323.52000000002</v>
      </c>
      <c r="F163" s="4">
        <f>SUM(F127:F162)</f>
        <v>737764.69333333347</v>
      </c>
      <c r="G163" s="6">
        <f>SUM(G127:G162)</f>
        <v>933098.91999999993</v>
      </c>
      <c r="H163" s="6">
        <f>SUM(H127:H162)</f>
        <v>916644.82597866666</v>
      </c>
    </row>
    <row r="164" spans="1:8" x14ac:dyDescent="0.25">
      <c r="A164" s="1" t="s">
        <v>2</v>
      </c>
      <c r="B164" s="1" t="s">
        <v>2</v>
      </c>
      <c r="C164" s="1" t="s">
        <v>2</v>
      </c>
      <c r="D164" s="1" t="s">
        <v>2</v>
      </c>
      <c r="E164" s="1"/>
      <c r="F164" s="1"/>
      <c r="G164" s="1" t="s">
        <v>2</v>
      </c>
      <c r="H164" s="1" t="s">
        <v>2</v>
      </c>
    </row>
    <row r="165" spans="1:8" ht="15" customHeight="1" x14ac:dyDescent="0.25">
      <c r="A165" s="1" t="s">
        <v>557</v>
      </c>
      <c r="B165" s="1" t="s">
        <v>2</v>
      </c>
    </row>
    <row r="166" spans="1:8" ht="15" customHeight="1" x14ac:dyDescent="0.25">
      <c r="A166" s="2" t="s">
        <v>1579</v>
      </c>
      <c r="B166" s="2" t="s">
        <v>1580</v>
      </c>
      <c r="C166" s="3">
        <v>0</v>
      </c>
      <c r="D166" s="3">
        <v>0</v>
      </c>
      <c r="E166" s="3">
        <v>0</v>
      </c>
      <c r="F166" s="3">
        <f t="shared" ref="F166:F186" si="14">E166/9*12</f>
        <v>0</v>
      </c>
      <c r="G166" s="3">
        <v>0</v>
      </c>
      <c r="H166" s="5">
        <v>0</v>
      </c>
    </row>
    <row r="167" spans="1:8" x14ac:dyDescent="0.25">
      <c r="A167" s="2" t="s">
        <v>1581</v>
      </c>
      <c r="B167" s="2" t="s">
        <v>1582</v>
      </c>
      <c r="C167" s="3">
        <v>24846.03</v>
      </c>
      <c r="D167" s="3">
        <v>2487.7199999999998</v>
      </c>
      <c r="E167" s="3">
        <v>2720.62</v>
      </c>
      <c r="F167" s="3">
        <f t="shared" si="14"/>
        <v>3627.4933333333329</v>
      </c>
      <c r="G167" s="3">
        <v>0</v>
      </c>
      <c r="H167" s="5">
        <v>0</v>
      </c>
    </row>
    <row r="168" spans="1:8" x14ac:dyDescent="0.25">
      <c r="A168" s="2" t="s">
        <v>1583</v>
      </c>
      <c r="B168" s="2" t="s">
        <v>1584</v>
      </c>
      <c r="C168" s="3">
        <v>0</v>
      </c>
      <c r="D168" s="3">
        <v>646.92999999999995</v>
      </c>
      <c r="E168" s="3">
        <v>854.69</v>
      </c>
      <c r="F168" s="3">
        <f t="shared" si="14"/>
        <v>1139.5866666666668</v>
      </c>
      <c r="G168" s="3">
        <v>0</v>
      </c>
      <c r="H168" s="5">
        <v>2500</v>
      </c>
    </row>
    <row r="169" spans="1:8" ht="15" customHeight="1" x14ac:dyDescent="0.25">
      <c r="A169" s="2" t="s">
        <v>1585</v>
      </c>
      <c r="B169" s="2" t="s">
        <v>850</v>
      </c>
      <c r="C169" s="3">
        <v>0</v>
      </c>
      <c r="D169" s="3">
        <v>0</v>
      </c>
      <c r="E169" s="3">
        <v>0</v>
      </c>
      <c r="F169" s="3">
        <f t="shared" si="14"/>
        <v>0</v>
      </c>
      <c r="G169" s="3">
        <v>0</v>
      </c>
      <c r="H169" s="5">
        <v>0</v>
      </c>
    </row>
    <row r="170" spans="1:8" ht="15" customHeight="1" x14ac:dyDescent="0.25">
      <c r="A170" s="2" t="s">
        <v>1586</v>
      </c>
      <c r="B170" s="2" t="s">
        <v>1402</v>
      </c>
      <c r="C170" s="3">
        <v>0</v>
      </c>
      <c r="D170" s="3">
        <v>0</v>
      </c>
      <c r="E170" s="3">
        <v>0</v>
      </c>
      <c r="F170" s="3">
        <f t="shared" si="14"/>
        <v>0</v>
      </c>
      <c r="G170" s="3">
        <v>0</v>
      </c>
      <c r="H170" s="5">
        <v>0</v>
      </c>
    </row>
    <row r="171" spans="1:8" ht="15" customHeight="1" x14ac:dyDescent="0.25">
      <c r="A171" s="2" t="s">
        <v>1587</v>
      </c>
      <c r="B171" s="2" t="s">
        <v>1588</v>
      </c>
      <c r="C171" s="3">
        <v>0</v>
      </c>
      <c r="D171" s="3">
        <v>0</v>
      </c>
      <c r="E171" s="3">
        <v>0</v>
      </c>
      <c r="F171" s="3">
        <f t="shared" si="14"/>
        <v>0</v>
      </c>
      <c r="G171" s="3">
        <v>0</v>
      </c>
      <c r="H171" s="5">
        <v>0</v>
      </c>
    </row>
    <row r="172" spans="1:8" ht="15" customHeight="1" x14ac:dyDescent="0.25">
      <c r="A172" s="2" t="s">
        <v>1589</v>
      </c>
      <c r="B172" s="2" t="s">
        <v>1590</v>
      </c>
      <c r="C172" s="3">
        <v>0</v>
      </c>
      <c r="D172" s="3">
        <v>0</v>
      </c>
      <c r="E172" s="3">
        <v>0</v>
      </c>
      <c r="F172" s="3">
        <f t="shared" si="14"/>
        <v>0</v>
      </c>
      <c r="G172" s="3">
        <v>0</v>
      </c>
      <c r="H172" s="5">
        <v>0</v>
      </c>
    </row>
    <row r="173" spans="1:8" ht="15" customHeight="1" x14ac:dyDescent="0.25">
      <c r="A173" s="2" t="s">
        <v>1591</v>
      </c>
      <c r="B173" s="2" t="s">
        <v>1592</v>
      </c>
      <c r="C173" s="3">
        <v>0</v>
      </c>
      <c r="D173" s="3">
        <v>0</v>
      </c>
      <c r="E173" s="3">
        <v>0</v>
      </c>
      <c r="F173" s="3">
        <f t="shared" si="14"/>
        <v>0</v>
      </c>
      <c r="G173" s="3">
        <v>0</v>
      </c>
      <c r="H173" s="5">
        <v>0</v>
      </c>
    </row>
    <row r="174" spans="1:8" ht="15" customHeight="1" x14ac:dyDescent="0.25">
      <c r="A174" s="2" t="s">
        <v>1593</v>
      </c>
      <c r="B174" s="2" t="s">
        <v>1594</v>
      </c>
      <c r="C174" s="3">
        <v>0</v>
      </c>
      <c r="D174" s="3">
        <v>0</v>
      </c>
      <c r="E174" s="3">
        <v>0</v>
      </c>
      <c r="F174" s="3">
        <f t="shared" si="14"/>
        <v>0</v>
      </c>
      <c r="G174" s="3">
        <v>0</v>
      </c>
      <c r="H174" s="5">
        <v>0</v>
      </c>
    </row>
    <row r="175" spans="1:8" x14ac:dyDescent="0.25">
      <c r="A175" s="2" t="s">
        <v>1595</v>
      </c>
      <c r="B175" s="2" t="s">
        <v>1596</v>
      </c>
      <c r="C175" s="3">
        <v>0</v>
      </c>
      <c r="D175" s="3">
        <v>0</v>
      </c>
      <c r="E175" s="3">
        <v>0</v>
      </c>
      <c r="F175" s="3">
        <f t="shared" si="14"/>
        <v>0</v>
      </c>
      <c r="G175" s="3">
        <v>0</v>
      </c>
      <c r="H175" s="5">
        <v>0</v>
      </c>
    </row>
    <row r="176" spans="1:8" ht="15" customHeight="1" x14ac:dyDescent="0.25">
      <c r="A176" s="2" t="s">
        <v>1597</v>
      </c>
      <c r="B176" s="2" t="s">
        <v>1598</v>
      </c>
      <c r="C176" s="3">
        <v>0</v>
      </c>
      <c r="D176" s="3">
        <v>0</v>
      </c>
      <c r="E176" s="3">
        <v>0</v>
      </c>
      <c r="F176" s="3">
        <f t="shared" si="14"/>
        <v>0</v>
      </c>
      <c r="G176" s="3">
        <v>0</v>
      </c>
      <c r="H176" s="5">
        <v>0</v>
      </c>
    </row>
    <row r="177" spans="1:9" ht="15" customHeight="1" x14ac:dyDescent="0.25">
      <c r="A177" s="2" t="s">
        <v>1599</v>
      </c>
      <c r="B177" s="2" t="s">
        <v>1600</v>
      </c>
      <c r="C177" s="3">
        <v>0</v>
      </c>
      <c r="D177" s="3">
        <v>0</v>
      </c>
      <c r="E177" s="3">
        <v>0</v>
      </c>
      <c r="F177" s="3">
        <f t="shared" si="14"/>
        <v>0</v>
      </c>
      <c r="G177" s="3">
        <v>0</v>
      </c>
      <c r="H177" s="5">
        <v>0</v>
      </c>
    </row>
    <row r="178" spans="1:9" ht="15" customHeight="1" x14ac:dyDescent="0.25">
      <c r="A178" s="2" t="s">
        <v>1601</v>
      </c>
      <c r="B178" s="2" t="s">
        <v>1602</v>
      </c>
      <c r="C178" s="3">
        <v>0</v>
      </c>
      <c r="D178" s="3">
        <v>0</v>
      </c>
      <c r="E178" s="3">
        <v>0</v>
      </c>
      <c r="F178" s="3">
        <f t="shared" si="14"/>
        <v>0</v>
      </c>
      <c r="G178" s="3">
        <v>0</v>
      </c>
      <c r="H178" s="5">
        <v>0</v>
      </c>
    </row>
    <row r="179" spans="1:9" ht="15" customHeight="1" x14ac:dyDescent="0.25">
      <c r="A179" s="2" t="s">
        <v>1603</v>
      </c>
      <c r="B179" s="2" t="s">
        <v>1604</v>
      </c>
      <c r="C179" s="3">
        <v>0</v>
      </c>
      <c r="D179" s="3">
        <v>0</v>
      </c>
      <c r="E179" s="3">
        <v>0</v>
      </c>
      <c r="F179" s="3">
        <f t="shared" si="14"/>
        <v>0</v>
      </c>
      <c r="G179" s="3">
        <v>0</v>
      </c>
      <c r="H179" s="5">
        <v>0</v>
      </c>
    </row>
    <row r="180" spans="1:9" x14ac:dyDescent="0.25">
      <c r="A180" s="2" t="s">
        <v>1605</v>
      </c>
      <c r="B180" s="2" t="s">
        <v>1606</v>
      </c>
      <c r="C180" s="3">
        <v>357251.42</v>
      </c>
      <c r="D180" s="3">
        <v>0</v>
      </c>
      <c r="E180" s="3">
        <v>0</v>
      </c>
      <c r="F180" s="3">
        <f t="shared" si="14"/>
        <v>0</v>
      </c>
      <c r="G180" s="3">
        <v>0</v>
      </c>
      <c r="H180" s="5">
        <v>0</v>
      </c>
    </row>
    <row r="181" spans="1:9" ht="15" customHeight="1" x14ac:dyDescent="0.25">
      <c r="A181" s="2" t="s">
        <v>1607</v>
      </c>
      <c r="B181" s="2" t="s">
        <v>1608</v>
      </c>
      <c r="C181" s="3">
        <v>0</v>
      </c>
      <c r="D181" s="3">
        <v>0</v>
      </c>
      <c r="E181" s="3">
        <v>0</v>
      </c>
      <c r="F181" s="3">
        <f t="shared" si="14"/>
        <v>0</v>
      </c>
      <c r="G181" s="3">
        <v>0</v>
      </c>
      <c r="H181" s="5">
        <v>0</v>
      </c>
    </row>
    <row r="182" spans="1:9" ht="15" customHeight="1" x14ac:dyDescent="0.25">
      <c r="A182" s="2" t="s">
        <v>1609</v>
      </c>
      <c r="B182" s="2" t="s">
        <v>1610</v>
      </c>
      <c r="C182" s="3">
        <v>0</v>
      </c>
      <c r="D182" s="3">
        <v>0</v>
      </c>
      <c r="E182" s="3">
        <v>0</v>
      </c>
      <c r="F182" s="3">
        <f t="shared" si="14"/>
        <v>0</v>
      </c>
      <c r="G182" s="3">
        <v>0</v>
      </c>
      <c r="H182" s="5">
        <v>0</v>
      </c>
    </row>
    <row r="183" spans="1:9" ht="15" customHeight="1" x14ac:dyDescent="0.25">
      <c r="A183" s="2" t="s">
        <v>1611</v>
      </c>
      <c r="B183" s="2" t="s">
        <v>1426</v>
      </c>
      <c r="C183" s="3">
        <v>0</v>
      </c>
      <c r="D183" s="3">
        <v>0</v>
      </c>
      <c r="E183" s="3">
        <v>0</v>
      </c>
      <c r="F183" s="3">
        <f t="shared" si="14"/>
        <v>0</v>
      </c>
      <c r="G183" s="3">
        <v>0</v>
      </c>
      <c r="H183" s="5">
        <v>0</v>
      </c>
    </row>
    <row r="184" spans="1:9" ht="15" customHeight="1" x14ac:dyDescent="0.25">
      <c r="A184" s="2" t="s">
        <v>1612</v>
      </c>
      <c r="B184" s="2" t="s">
        <v>1434</v>
      </c>
      <c r="C184" s="3">
        <v>2023.97</v>
      </c>
      <c r="D184" s="3">
        <v>215.53</v>
      </c>
      <c r="E184" s="3">
        <v>352.26</v>
      </c>
      <c r="F184" s="3">
        <f t="shared" si="14"/>
        <v>469.68</v>
      </c>
      <c r="G184" s="3">
        <v>300000</v>
      </c>
      <c r="H184" s="5">
        <v>300000</v>
      </c>
    </row>
    <row r="185" spans="1:9" ht="15" customHeight="1" x14ac:dyDescent="0.25">
      <c r="A185" s="2" t="s">
        <v>1613</v>
      </c>
      <c r="B185" s="2" t="s">
        <v>1436</v>
      </c>
      <c r="C185" s="3">
        <v>1029.28</v>
      </c>
      <c r="D185" s="3">
        <v>579.46</v>
      </c>
      <c r="E185" s="3">
        <v>786.41</v>
      </c>
      <c r="F185" s="3">
        <f t="shared" si="14"/>
        <v>1048.5466666666666</v>
      </c>
      <c r="G185" s="3">
        <v>0</v>
      </c>
      <c r="H185" s="5">
        <v>0</v>
      </c>
    </row>
    <row r="186" spans="1:9" x14ac:dyDescent="0.25">
      <c r="A186" s="2" t="s">
        <v>1614</v>
      </c>
      <c r="B186" s="2" t="s">
        <v>1615</v>
      </c>
      <c r="C186" s="3">
        <v>0</v>
      </c>
      <c r="D186" s="3">
        <v>168.8</v>
      </c>
      <c r="E186" s="3">
        <v>168.8</v>
      </c>
      <c r="F186" s="3">
        <f t="shared" si="14"/>
        <v>225.06666666666666</v>
      </c>
      <c r="G186" s="3">
        <v>500000</v>
      </c>
      <c r="H186" s="5">
        <v>500000</v>
      </c>
    </row>
    <row r="187" spans="1:9" ht="15" customHeight="1" x14ac:dyDescent="0.25">
      <c r="A187" s="1" t="s">
        <v>560</v>
      </c>
      <c r="B187" s="1" t="s">
        <v>2</v>
      </c>
      <c r="C187" s="4">
        <v>385150.7</v>
      </c>
      <c r="D187" s="4">
        <v>4098.4399999999996</v>
      </c>
      <c r="E187" s="4">
        <f>SUM(E166:E186)</f>
        <v>4882.78</v>
      </c>
      <c r="F187" s="4">
        <f>SUM(F166:F186)</f>
        <v>6510.3733333333339</v>
      </c>
      <c r="G187" s="6">
        <f>SUM(G166:G186)</f>
        <v>800000</v>
      </c>
      <c r="H187" s="6">
        <f>SUM(H166:H186)</f>
        <v>802500</v>
      </c>
    </row>
    <row r="188" spans="1:9" x14ac:dyDescent="0.25">
      <c r="A188" s="1" t="s">
        <v>2</v>
      </c>
      <c r="B188" s="1" t="s">
        <v>2</v>
      </c>
      <c r="C188" s="1" t="s">
        <v>2</v>
      </c>
      <c r="D188" s="1" t="s">
        <v>2</v>
      </c>
      <c r="E188" s="1"/>
      <c r="F188" s="1"/>
      <c r="G188" s="1" t="s">
        <v>2</v>
      </c>
      <c r="H188" s="1" t="s">
        <v>2</v>
      </c>
    </row>
    <row r="189" spans="1:9" ht="15" customHeight="1" x14ac:dyDescent="0.25">
      <c r="A189" s="1" t="s">
        <v>706</v>
      </c>
      <c r="B189" s="1" t="s">
        <v>2</v>
      </c>
    </row>
    <row r="190" spans="1:9" x14ac:dyDescent="0.25">
      <c r="A190" s="109" t="s">
        <v>1616</v>
      </c>
      <c r="B190" s="109" t="s">
        <v>1617</v>
      </c>
      <c r="C190" s="110">
        <v>695259.19</v>
      </c>
      <c r="D190" s="110">
        <v>0</v>
      </c>
      <c r="E190" s="110">
        <v>120111</v>
      </c>
      <c r="F190" s="110">
        <v>695902</v>
      </c>
      <c r="G190" s="110">
        <v>695902</v>
      </c>
      <c r="H190" s="110">
        <f>Transfers!$C$61</f>
        <v>700000</v>
      </c>
      <c r="I190" s="253"/>
    </row>
    <row r="191" spans="1:9" ht="15" customHeight="1" x14ac:dyDescent="0.25">
      <c r="A191" s="109" t="s">
        <v>1618</v>
      </c>
      <c r="B191" s="109" t="s">
        <v>1459</v>
      </c>
      <c r="C191" s="110">
        <v>13909.32</v>
      </c>
      <c r="D191" s="110">
        <v>0</v>
      </c>
      <c r="E191" s="110">
        <v>9841.9699999999993</v>
      </c>
      <c r="F191" s="110">
        <v>10821</v>
      </c>
      <c r="G191" s="110">
        <v>10821</v>
      </c>
      <c r="H191" s="110">
        <f>Transfers!$C$68</f>
        <v>10000</v>
      </c>
      <c r="I191" s="253"/>
    </row>
    <row r="192" spans="1:9" x14ac:dyDescent="0.25">
      <c r="A192" s="109" t="s">
        <v>1619</v>
      </c>
      <c r="B192" s="109" t="s">
        <v>1620</v>
      </c>
      <c r="C192" s="110">
        <v>0</v>
      </c>
      <c r="D192" s="110">
        <v>0</v>
      </c>
      <c r="E192" s="110">
        <v>0</v>
      </c>
      <c r="F192" s="110">
        <v>0</v>
      </c>
      <c r="G192" s="110">
        <v>0</v>
      </c>
      <c r="H192" s="110">
        <f>Transfers!$C$80</f>
        <v>0</v>
      </c>
      <c r="I192" s="253"/>
    </row>
    <row r="193" spans="1:9" ht="15" customHeight="1" x14ac:dyDescent="0.25">
      <c r="A193" s="109" t="s">
        <v>1621</v>
      </c>
      <c r="B193" s="109" t="s">
        <v>1025</v>
      </c>
      <c r="C193" s="110">
        <v>0</v>
      </c>
      <c r="D193" s="110">
        <v>0</v>
      </c>
      <c r="E193" s="110">
        <v>0</v>
      </c>
      <c r="F193" s="110">
        <v>0</v>
      </c>
      <c r="G193" s="110">
        <v>67500</v>
      </c>
      <c r="H193" s="110">
        <f>Transfers!$C$135</f>
        <v>67500</v>
      </c>
      <c r="I193" s="253"/>
    </row>
    <row r="194" spans="1:9" ht="15" customHeight="1" x14ac:dyDescent="0.25">
      <c r="A194" s="109" t="s">
        <v>1622</v>
      </c>
      <c r="B194" s="109" t="s">
        <v>1027</v>
      </c>
      <c r="C194" s="110">
        <v>0</v>
      </c>
      <c r="D194" s="110">
        <v>0</v>
      </c>
      <c r="E194" s="110">
        <v>0</v>
      </c>
      <c r="F194" s="110">
        <v>0</v>
      </c>
      <c r="G194" s="110">
        <v>10000</v>
      </c>
      <c r="H194" s="110">
        <f>Transfers!$C$136</f>
        <v>10000</v>
      </c>
      <c r="I194" s="253"/>
    </row>
    <row r="195" spans="1:9" ht="15" customHeight="1" x14ac:dyDescent="0.25">
      <c r="A195" s="109" t="s">
        <v>1623</v>
      </c>
      <c r="B195" s="109" t="s">
        <v>1029</v>
      </c>
      <c r="C195" s="110">
        <v>0</v>
      </c>
      <c r="D195" s="110">
        <v>0</v>
      </c>
      <c r="E195" s="110">
        <v>0</v>
      </c>
      <c r="F195" s="110">
        <v>0</v>
      </c>
      <c r="G195" s="110">
        <v>10000</v>
      </c>
      <c r="H195" s="110">
        <f>Transfers!$C$137</f>
        <v>10000</v>
      </c>
      <c r="I195" s="253"/>
    </row>
    <row r="196" spans="1:9" ht="15" customHeight="1" x14ac:dyDescent="0.25">
      <c r="A196" s="109" t="s">
        <v>1624</v>
      </c>
      <c r="B196" s="109" t="s">
        <v>1031</v>
      </c>
      <c r="C196" s="110">
        <v>0</v>
      </c>
      <c r="D196" s="110">
        <v>0</v>
      </c>
      <c r="E196" s="110">
        <v>0</v>
      </c>
      <c r="F196" s="110">
        <v>0</v>
      </c>
      <c r="G196" s="110">
        <v>2500</v>
      </c>
      <c r="H196" s="110">
        <f>Transfers!$C$138</f>
        <v>2500</v>
      </c>
      <c r="I196" s="253"/>
    </row>
    <row r="197" spans="1:9" x14ac:dyDescent="0.25">
      <c r="A197" s="109" t="s">
        <v>1625</v>
      </c>
      <c r="B197" s="109" t="s">
        <v>1035</v>
      </c>
      <c r="C197" s="110">
        <v>0</v>
      </c>
      <c r="D197" s="110">
        <v>0</v>
      </c>
      <c r="E197" s="110">
        <v>0</v>
      </c>
      <c r="F197" s="110">
        <v>0</v>
      </c>
      <c r="G197" s="110">
        <v>2500</v>
      </c>
      <c r="H197" s="110">
        <f>Transfers!$C$139</f>
        <v>2500</v>
      </c>
      <c r="I197" s="253"/>
    </row>
    <row r="198" spans="1:9" ht="15" customHeight="1" x14ac:dyDescent="0.25">
      <c r="A198" s="109" t="s">
        <v>1626</v>
      </c>
      <c r="B198" s="109" t="s">
        <v>1037</v>
      </c>
      <c r="C198" s="110">
        <v>0</v>
      </c>
      <c r="D198" s="110">
        <v>0</v>
      </c>
      <c r="E198" s="110">
        <v>0</v>
      </c>
      <c r="F198" s="110">
        <v>0</v>
      </c>
      <c r="G198" s="110">
        <v>1750</v>
      </c>
      <c r="H198" s="110">
        <f>Transfers!$C$140</f>
        <v>1750</v>
      </c>
      <c r="I198" s="253"/>
    </row>
    <row r="199" spans="1:9" ht="15" customHeight="1" x14ac:dyDescent="0.25">
      <c r="A199" s="109" t="s">
        <v>1627</v>
      </c>
      <c r="B199" s="109" t="s">
        <v>1628</v>
      </c>
      <c r="C199" s="110">
        <v>0</v>
      </c>
      <c r="D199" s="110">
        <v>0</v>
      </c>
      <c r="E199" s="110">
        <v>0</v>
      </c>
      <c r="F199" s="110">
        <v>0</v>
      </c>
      <c r="G199" s="110">
        <v>0</v>
      </c>
      <c r="H199" s="110">
        <f>Transfers!$C$141</f>
        <v>0</v>
      </c>
      <c r="I199" s="253"/>
    </row>
    <row r="200" spans="1:9" ht="15" customHeight="1" x14ac:dyDescent="0.25">
      <c r="A200" s="109" t="s">
        <v>1629</v>
      </c>
      <c r="B200" s="109" t="s">
        <v>1007</v>
      </c>
      <c r="C200" s="110">
        <v>0</v>
      </c>
      <c r="D200" s="110">
        <v>0</v>
      </c>
      <c r="E200" s="110">
        <v>0</v>
      </c>
      <c r="F200" s="110">
        <v>0</v>
      </c>
      <c r="G200" s="110">
        <v>0</v>
      </c>
      <c r="H200" s="110">
        <f>Transfers!$C$142</f>
        <v>0</v>
      </c>
      <c r="I200" s="253"/>
    </row>
    <row r="201" spans="1:9" x14ac:dyDescent="0.25">
      <c r="A201" s="109" t="s">
        <v>1630</v>
      </c>
      <c r="B201" s="109" t="s">
        <v>1009</v>
      </c>
      <c r="C201" s="110">
        <v>23850.65</v>
      </c>
      <c r="D201" s="110">
        <v>0</v>
      </c>
      <c r="E201" s="110">
        <v>0</v>
      </c>
      <c r="F201" s="110">
        <v>0</v>
      </c>
      <c r="G201" s="110">
        <v>0</v>
      </c>
      <c r="H201" s="110">
        <f>Transfers!$C$143</f>
        <v>0</v>
      </c>
      <c r="I201" s="253"/>
    </row>
    <row r="202" spans="1:9" x14ac:dyDescent="0.25">
      <c r="A202" s="109" t="s">
        <v>1631</v>
      </c>
      <c r="B202" s="109" t="s">
        <v>1632</v>
      </c>
      <c r="C202" s="110">
        <v>0</v>
      </c>
      <c r="D202" s="110">
        <v>0</v>
      </c>
      <c r="E202" s="110">
        <v>0</v>
      </c>
      <c r="F202" s="110">
        <v>0</v>
      </c>
      <c r="G202" s="110">
        <v>0</v>
      </c>
      <c r="H202" s="110">
        <f>Transfers!$C$144</f>
        <v>0</v>
      </c>
      <c r="I202" s="253"/>
    </row>
    <row r="203" spans="1:9" ht="15" customHeight="1" x14ac:dyDescent="0.25">
      <c r="A203" s="109" t="s">
        <v>1633</v>
      </c>
      <c r="B203" s="109" t="s">
        <v>1013</v>
      </c>
      <c r="C203" s="110">
        <v>17643.03</v>
      </c>
      <c r="D203" s="110">
        <v>0</v>
      </c>
      <c r="E203" s="110">
        <v>0</v>
      </c>
      <c r="F203" s="110">
        <v>0</v>
      </c>
      <c r="G203" s="110">
        <v>0</v>
      </c>
      <c r="H203" s="110">
        <f>Transfers!$C$145</f>
        <v>0</v>
      </c>
      <c r="I203" s="253"/>
    </row>
    <row r="204" spans="1:9" ht="15" customHeight="1" x14ac:dyDescent="0.25">
      <c r="A204" s="109" t="s">
        <v>1634</v>
      </c>
      <c r="B204" s="109" t="s">
        <v>1015</v>
      </c>
      <c r="C204" s="110">
        <v>8581.1299999999992</v>
      </c>
      <c r="D204" s="110">
        <v>0</v>
      </c>
      <c r="E204" s="110">
        <v>0</v>
      </c>
      <c r="F204" s="110">
        <v>0</v>
      </c>
      <c r="G204" s="110">
        <v>0</v>
      </c>
      <c r="H204" s="110">
        <f>Transfers!$C$146</f>
        <v>0</v>
      </c>
      <c r="I204" s="253"/>
    </row>
    <row r="205" spans="1:9" ht="15" customHeight="1" x14ac:dyDescent="0.25">
      <c r="A205" s="109" t="s">
        <v>1635</v>
      </c>
      <c r="B205" s="109" t="s">
        <v>1636</v>
      </c>
      <c r="C205" s="110">
        <v>58284.73</v>
      </c>
      <c r="D205" s="110">
        <v>0</v>
      </c>
      <c r="E205" s="110">
        <v>0</v>
      </c>
      <c r="F205" s="110">
        <v>0</v>
      </c>
      <c r="G205" s="110">
        <v>0</v>
      </c>
      <c r="H205" s="110">
        <f>Transfers!$C$147</f>
        <v>0</v>
      </c>
      <c r="I205" s="253"/>
    </row>
    <row r="206" spans="1:9" x14ac:dyDescent="0.25">
      <c r="A206" s="109" t="s">
        <v>1637</v>
      </c>
      <c r="B206" s="109" t="s">
        <v>1638</v>
      </c>
      <c r="C206" s="110">
        <v>1000000</v>
      </c>
      <c r="D206" s="110">
        <v>0</v>
      </c>
      <c r="E206" s="110">
        <v>0</v>
      </c>
      <c r="F206" s="110">
        <v>3000000</v>
      </c>
      <c r="G206" s="110">
        <v>3000000</v>
      </c>
      <c r="H206" s="110">
        <f>Transfers!$C$65</f>
        <v>1000000</v>
      </c>
      <c r="I206" s="253"/>
    </row>
    <row r="207" spans="1:9" ht="15" customHeight="1" x14ac:dyDescent="0.25">
      <c r="A207" s="1" t="s">
        <v>737</v>
      </c>
      <c r="B207" s="1" t="s">
        <v>2</v>
      </c>
      <c r="C207" s="4">
        <v>1817528.05</v>
      </c>
      <c r="D207" s="4">
        <v>0</v>
      </c>
      <c r="E207" s="4">
        <f>SUM(E190:E206)</f>
        <v>129952.97</v>
      </c>
      <c r="F207" s="4">
        <f>SUM(F190:F206)</f>
        <v>3706723</v>
      </c>
      <c r="G207" s="6">
        <f>SUM(G190:G206)</f>
        <v>3800973</v>
      </c>
      <c r="H207" s="6">
        <f>SUM(H190:H206)</f>
        <v>1804250</v>
      </c>
    </row>
    <row r="208" spans="1:9" x14ac:dyDescent="0.25">
      <c r="A208" s="1" t="s">
        <v>2</v>
      </c>
      <c r="B208" s="1" t="s">
        <v>2</v>
      </c>
      <c r="C208" s="1" t="s">
        <v>2</v>
      </c>
      <c r="D208" s="1" t="s">
        <v>2</v>
      </c>
      <c r="E208" s="1"/>
      <c r="F208" s="1"/>
      <c r="G208" s="1" t="s">
        <v>2</v>
      </c>
      <c r="H208" s="1" t="s">
        <v>2</v>
      </c>
    </row>
    <row r="209" spans="1:9" ht="15" customHeight="1" x14ac:dyDescent="0.25">
      <c r="A209" s="1" t="s">
        <v>698</v>
      </c>
      <c r="B209" s="1" t="s">
        <v>2</v>
      </c>
    </row>
    <row r="210" spans="1:9" ht="15" customHeight="1" x14ac:dyDescent="0.25">
      <c r="A210" s="2" t="s">
        <v>1639</v>
      </c>
      <c r="B210" s="2" t="s">
        <v>700</v>
      </c>
      <c r="C210" s="3">
        <v>0</v>
      </c>
      <c r="D210" s="3">
        <v>0</v>
      </c>
      <c r="E210" s="3">
        <v>0</v>
      </c>
      <c r="F210" s="3">
        <f t="shared" ref="F210:F212" si="15">E210/9*12</f>
        <v>0</v>
      </c>
      <c r="G210" s="3">
        <v>0</v>
      </c>
      <c r="H210" s="5">
        <v>0</v>
      </c>
    </row>
    <row r="211" spans="1:9" ht="15" customHeight="1" x14ac:dyDescent="0.25">
      <c r="A211" s="2" t="s">
        <v>1640</v>
      </c>
      <c r="B211" s="2" t="s">
        <v>704</v>
      </c>
      <c r="C211" s="3">
        <v>15433.06</v>
      </c>
      <c r="D211" s="3">
        <v>0</v>
      </c>
      <c r="E211" s="3">
        <v>0</v>
      </c>
      <c r="F211" s="3">
        <f t="shared" si="15"/>
        <v>0</v>
      </c>
      <c r="G211" s="3">
        <v>0</v>
      </c>
      <c r="H211" s="5">
        <v>0</v>
      </c>
    </row>
    <row r="212" spans="1:9" ht="15" customHeight="1" x14ac:dyDescent="0.25">
      <c r="A212" s="2" t="s">
        <v>1641</v>
      </c>
      <c r="B212" s="2" t="s">
        <v>1642</v>
      </c>
      <c r="C212" s="3">
        <v>0</v>
      </c>
      <c r="D212" s="3">
        <v>0</v>
      </c>
      <c r="E212" s="3">
        <v>0</v>
      </c>
      <c r="F212" s="3">
        <f t="shared" si="15"/>
        <v>0</v>
      </c>
      <c r="G212" s="3">
        <v>0</v>
      </c>
      <c r="H212" s="5">
        <v>0</v>
      </c>
    </row>
    <row r="213" spans="1:9" ht="15" customHeight="1" x14ac:dyDescent="0.25">
      <c r="A213" s="1" t="s">
        <v>705</v>
      </c>
      <c r="B213" s="1" t="s">
        <v>2</v>
      </c>
      <c r="C213" s="4">
        <v>15433.06</v>
      </c>
      <c r="D213" s="4">
        <v>0</v>
      </c>
      <c r="E213" s="4">
        <f>SUM(E210:E212)</f>
        <v>0</v>
      </c>
      <c r="F213" s="4">
        <f>SUM(F210:F212)</f>
        <v>0</v>
      </c>
      <c r="G213" s="6">
        <f>SUM(G210:G212)</f>
        <v>0</v>
      </c>
      <c r="H213" s="6">
        <f>SUM(H210:H212)</f>
        <v>0</v>
      </c>
    </row>
    <row r="214" spans="1:9" x14ac:dyDescent="0.25">
      <c r="A214" s="1" t="s">
        <v>2</v>
      </c>
      <c r="B214" s="1" t="s">
        <v>2</v>
      </c>
      <c r="C214" s="1" t="s">
        <v>2</v>
      </c>
      <c r="D214" s="1" t="s">
        <v>2</v>
      </c>
      <c r="E214" s="1"/>
      <c r="F214" s="1"/>
      <c r="G214" s="1" t="s">
        <v>2</v>
      </c>
      <c r="H214" s="1" t="s">
        <v>2</v>
      </c>
    </row>
    <row r="215" spans="1:9" x14ac:dyDescent="0.25">
      <c r="A215" s="1" t="s">
        <v>1643</v>
      </c>
      <c r="B215" s="1" t="s">
        <v>2</v>
      </c>
      <c r="C215" s="4">
        <v>5135935.75</v>
      </c>
      <c r="D215" s="4">
        <v>1073714.3899999999</v>
      </c>
      <c r="E215" s="4">
        <f>E94+E118+E124+E163+E187+E207+E213</f>
        <v>1977236.92</v>
      </c>
      <c r="F215" s="4">
        <f>F94+F118+F124+F163+F187+F207+F213</f>
        <v>6169768.2666666675</v>
      </c>
      <c r="G215" s="6">
        <f>G213+G207+G187+G163+G124+G118+G94</f>
        <v>7056704.2899999991</v>
      </c>
      <c r="H215" s="6">
        <f>H213+H207+H187+H163+H124+H118+H94</f>
        <v>5151921.6472264156</v>
      </c>
    </row>
    <row r="216" spans="1:9" ht="15" customHeight="1" x14ac:dyDescent="0.25">
      <c r="A216" s="291" t="s">
        <v>3015</v>
      </c>
      <c r="B216" s="291" t="s">
        <v>2</v>
      </c>
      <c r="C216" s="294">
        <f>C7+C66-C215</f>
        <v>9003322.3399999999</v>
      </c>
      <c r="D216" s="294">
        <f t="shared" ref="D216:H216" si="16">D7+D66-D215</f>
        <v>11305868.699999999</v>
      </c>
      <c r="E216" s="294">
        <f t="shared" si="16"/>
        <v>12836931.48</v>
      </c>
      <c r="F216" s="294">
        <f t="shared" si="16"/>
        <v>10581348.820000002</v>
      </c>
      <c r="G216" s="294">
        <f t="shared" si="16"/>
        <v>8013870.0500000007</v>
      </c>
      <c r="H216" s="294">
        <f t="shared" si="16"/>
        <v>11830011.195773587</v>
      </c>
      <c r="I216" s="291"/>
    </row>
    <row r="217" spans="1:9" x14ac:dyDescent="0.25">
      <c r="A217" s="1" t="s">
        <v>2</v>
      </c>
      <c r="B217" s="1" t="s">
        <v>2</v>
      </c>
      <c r="C217" s="1" t="s">
        <v>2</v>
      </c>
      <c r="D217" s="1" t="s">
        <v>2</v>
      </c>
      <c r="E217" s="1"/>
      <c r="F217" s="1"/>
      <c r="G217" s="1" t="s">
        <v>2</v>
      </c>
      <c r="H217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9829E-D408-40C3-B56F-0A23FBACDED4}">
  <sheetPr>
    <tabColor rgb="FF92D050"/>
    <pageSetUpPr fitToPage="1"/>
  </sheetPr>
  <dimension ref="A1:M58"/>
  <sheetViews>
    <sheetView showGridLines="0" zoomScaleNormal="100" workbookViewId="0">
      <pane ySplit="5" topLeftCell="A37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4000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H7-F57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3016</v>
      </c>
      <c r="B7" s="291"/>
      <c r="C7" s="294">
        <v>3843.98</v>
      </c>
      <c r="D7" s="294">
        <v>3964.49</v>
      </c>
      <c r="E7" s="294">
        <v>3964.49</v>
      </c>
      <c r="F7" s="294">
        <v>3964.49</v>
      </c>
      <c r="G7" s="294">
        <v>3964.49</v>
      </c>
      <c r="H7" s="294">
        <f>F57</f>
        <v>3175.4899999999907</v>
      </c>
      <c r="I7" s="291"/>
    </row>
    <row r="8" spans="1:13" ht="24" x14ac:dyDescent="0.25">
      <c r="A8" s="23" t="s">
        <v>1644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3017</v>
      </c>
      <c r="B12" s="30" t="s">
        <v>2409</v>
      </c>
      <c r="C12" s="31">
        <v>4.01</v>
      </c>
      <c r="D12" s="31">
        <v>2.8</v>
      </c>
      <c r="E12" s="31">
        <v>8.25</v>
      </c>
      <c r="F12" s="31">
        <f>E12/9*12</f>
        <v>11</v>
      </c>
      <c r="G12" s="31">
        <v>0</v>
      </c>
      <c r="H12" s="31">
        <v>0</v>
      </c>
      <c r="I12" s="29"/>
    </row>
    <row r="13" spans="1:13" ht="24" x14ac:dyDescent="0.25">
      <c r="A13" s="23" t="s">
        <v>2179</v>
      </c>
      <c r="B13" s="23" t="s">
        <v>2</v>
      </c>
      <c r="C13" s="32">
        <v>4.01</v>
      </c>
      <c r="D13" s="32">
        <v>2.8</v>
      </c>
      <c r="E13" s="32">
        <f>E12</f>
        <v>8.25</v>
      </c>
      <c r="F13" s="32">
        <f>F12</f>
        <v>11</v>
      </c>
      <c r="G13" s="32">
        <f>SUM(G12)</f>
        <v>0</v>
      </c>
      <c r="H13" s="32">
        <f>SUM(H12)</f>
        <v>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x14ac:dyDescent="0.25">
      <c r="A15" s="23" t="s">
        <v>2553</v>
      </c>
      <c r="B15" s="23" t="s">
        <v>2</v>
      </c>
      <c r="C15" s="29"/>
      <c r="D15" s="29"/>
      <c r="E15" s="29"/>
      <c r="F15" s="29"/>
      <c r="G15" s="29"/>
      <c r="H15" s="29"/>
      <c r="I15" s="29"/>
    </row>
    <row r="16" spans="1:13" x14ac:dyDescent="0.25">
      <c r="A16" s="30" t="s">
        <v>3018</v>
      </c>
      <c r="B16" s="30" t="s">
        <v>3019</v>
      </c>
      <c r="C16" s="31">
        <v>0</v>
      </c>
      <c r="D16" s="31">
        <v>0</v>
      </c>
      <c r="E16" s="31">
        <v>0</v>
      </c>
      <c r="F16" s="31">
        <f>E16/9*12</f>
        <v>0</v>
      </c>
      <c r="G16" s="31">
        <v>0</v>
      </c>
      <c r="H16" s="31">
        <v>0</v>
      </c>
      <c r="I16" s="29"/>
    </row>
    <row r="17" spans="1:9" x14ac:dyDescent="0.25">
      <c r="A17" s="30" t="s">
        <v>3020</v>
      </c>
      <c r="B17" s="30" t="s">
        <v>3021</v>
      </c>
      <c r="C17" s="31">
        <v>0</v>
      </c>
      <c r="D17" s="31">
        <v>0</v>
      </c>
      <c r="E17" s="31">
        <v>0</v>
      </c>
      <c r="F17" s="31">
        <f>E17/9*12</f>
        <v>0</v>
      </c>
      <c r="G17" s="31">
        <v>0</v>
      </c>
      <c r="H17" s="31">
        <v>0</v>
      </c>
      <c r="I17" s="29"/>
    </row>
    <row r="18" spans="1:9" x14ac:dyDescent="0.25">
      <c r="A18" s="109" t="s">
        <v>3022</v>
      </c>
      <c r="B18" s="109" t="s">
        <v>3023</v>
      </c>
      <c r="C18" s="110">
        <v>695259.19</v>
      </c>
      <c r="D18" s="110">
        <v>0</v>
      </c>
      <c r="E18" s="110">
        <v>120111</v>
      </c>
      <c r="F18" s="110">
        <v>695902</v>
      </c>
      <c r="G18" s="110">
        <v>695902</v>
      </c>
      <c r="H18" s="110">
        <f>Transfers!$C$61</f>
        <v>700000</v>
      </c>
      <c r="I18" s="108"/>
    </row>
    <row r="19" spans="1:9" x14ac:dyDescent="0.25">
      <c r="A19" s="109" t="s">
        <v>3024</v>
      </c>
      <c r="B19" s="109" t="s">
        <v>3025</v>
      </c>
      <c r="C19" s="110">
        <v>833632.54</v>
      </c>
      <c r="D19" s="110">
        <v>0</v>
      </c>
      <c r="E19" s="110">
        <v>270822</v>
      </c>
      <c r="F19" s="110">
        <v>833578</v>
      </c>
      <c r="G19" s="110">
        <v>833578</v>
      </c>
      <c r="H19" s="110">
        <f>Transfers!$C$62+Transfers!$C$63</f>
        <v>850000</v>
      </c>
      <c r="I19" s="108"/>
    </row>
    <row r="20" spans="1:9" x14ac:dyDescent="0.25">
      <c r="A20" s="109" t="s">
        <v>3026</v>
      </c>
      <c r="B20" s="109" t="s">
        <v>3027</v>
      </c>
      <c r="C20" s="110">
        <v>39979</v>
      </c>
      <c r="D20" s="110">
        <v>0</v>
      </c>
      <c r="E20" s="110">
        <v>7056.25</v>
      </c>
      <c r="F20" s="110">
        <v>39113</v>
      </c>
      <c r="G20" s="110">
        <v>39113</v>
      </c>
      <c r="H20" s="110">
        <f>Transfers!$C$64</f>
        <v>45000</v>
      </c>
      <c r="I20" s="108"/>
    </row>
    <row r="21" spans="1:9" ht="24" x14ac:dyDescent="0.25">
      <c r="A21" s="23" t="s">
        <v>2556</v>
      </c>
      <c r="B21" s="23" t="s">
        <v>2</v>
      </c>
      <c r="C21" s="32">
        <v>1568870.73</v>
      </c>
      <c r="D21" s="32">
        <v>0</v>
      </c>
      <c r="E21" s="32">
        <f>SUM(E16:E20)</f>
        <v>397989.25</v>
      </c>
      <c r="F21" s="32">
        <f>SUM(F16:F20)</f>
        <v>1568593</v>
      </c>
      <c r="G21" s="32">
        <f>SUM(G16:G20)</f>
        <v>1568593</v>
      </c>
      <c r="H21" s="32">
        <f>SUM(H16:H20)</f>
        <v>1595000</v>
      </c>
      <c r="I21" s="29"/>
    </row>
    <row r="22" spans="1:9" x14ac:dyDescent="0.25">
      <c r="A22" s="23" t="s">
        <v>2</v>
      </c>
      <c r="B22" s="23" t="s">
        <v>2</v>
      </c>
      <c r="C22" s="23" t="s">
        <v>2</v>
      </c>
      <c r="D22" s="23" t="s">
        <v>2</v>
      </c>
      <c r="E22" s="23"/>
      <c r="F22" s="23"/>
      <c r="G22" s="23" t="s">
        <v>2</v>
      </c>
      <c r="H22" s="23" t="s">
        <v>2</v>
      </c>
      <c r="I22" s="29"/>
    </row>
    <row r="23" spans="1:9" x14ac:dyDescent="0.25">
      <c r="A23" s="23" t="s">
        <v>2047</v>
      </c>
      <c r="B23" s="23" t="s">
        <v>2</v>
      </c>
      <c r="C23" s="32">
        <v>1568874.74</v>
      </c>
      <c r="D23" s="32">
        <v>2.8</v>
      </c>
      <c r="E23" s="32">
        <f>E13+E21</f>
        <v>397997.5</v>
      </c>
      <c r="F23" s="32">
        <f>F13+F21</f>
        <v>1568604</v>
      </c>
      <c r="G23" s="32">
        <f>G21+G13</f>
        <v>1568593</v>
      </c>
      <c r="H23" s="32">
        <f>H21+H13</f>
        <v>1595000</v>
      </c>
      <c r="I23" s="29"/>
    </row>
    <row r="24" spans="1:9" ht="15" customHeight="1" x14ac:dyDescent="0.25">
      <c r="A24" s="1" t="s">
        <v>740</v>
      </c>
      <c r="B24" s="1" t="s">
        <v>2</v>
      </c>
      <c r="C24" s="40"/>
      <c r="G24" s="40"/>
    </row>
    <row r="25" spans="1:9" ht="15" customHeight="1" x14ac:dyDescent="0.25">
      <c r="A25" s="1" t="s">
        <v>556</v>
      </c>
      <c r="B25" s="1" t="s">
        <v>2</v>
      </c>
    </row>
    <row r="26" spans="1:9" ht="15" customHeight="1" x14ac:dyDescent="0.25">
      <c r="A26" s="1" t="s">
        <v>1645</v>
      </c>
      <c r="B26" s="1" t="s">
        <v>2</v>
      </c>
    </row>
    <row r="27" spans="1:9" x14ac:dyDescent="0.25">
      <c r="A27" s="2" t="s">
        <v>1646</v>
      </c>
      <c r="B27" s="2" t="s">
        <v>1647</v>
      </c>
      <c r="C27" s="3">
        <v>25000</v>
      </c>
      <c r="D27" s="3">
        <v>0</v>
      </c>
      <c r="E27" s="3">
        <v>0</v>
      </c>
      <c r="F27" s="3">
        <f>G27</f>
        <v>25000</v>
      </c>
      <c r="G27" s="3">
        <v>25000</v>
      </c>
      <c r="H27" s="5">
        <v>26100</v>
      </c>
    </row>
    <row r="28" spans="1:9" x14ac:dyDescent="0.25">
      <c r="A28" s="2" t="s">
        <v>1648</v>
      </c>
      <c r="B28" s="2" t="s">
        <v>1649</v>
      </c>
      <c r="C28" s="3">
        <v>250000</v>
      </c>
      <c r="D28" s="3">
        <v>0</v>
      </c>
      <c r="E28" s="3">
        <v>0</v>
      </c>
      <c r="F28" s="3">
        <f>E28/9*12</f>
        <v>0</v>
      </c>
      <c r="G28" s="3">
        <v>0</v>
      </c>
      <c r="H28" s="5">
        <v>0</v>
      </c>
    </row>
    <row r="29" spans="1:9" x14ac:dyDescent="0.25">
      <c r="A29" s="2" t="s">
        <v>1650</v>
      </c>
      <c r="B29" s="2" t="s">
        <v>1651</v>
      </c>
      <c r="C29" s="3">
        <v>18480</v>
      </c>
      <c r="D29" s="3">
        <v>0</v>
      </c>
      <c r="E29" s="3">
        <v>0</v>
      </c>
      <c r="F29" s="3">
        <f>G29</f>
        <v>292320</v>
      </c>
      <c r="G29" s="3">
        <v>292320</v>
      </c>
      <c r="H29" s="5">
        <v>296520</v>
      </c>
    </row>
    <row r="30" spans="1:9" x14ac:dyDescent="0.25">
      <c r="A30" s="2" t="s">
        <v>1652</v>
      </c>
      <c r="B30" s="2" t="s">
        <v>1653</v>
      </c>
      <c r="C30" s="3">
        <v>324000</v>
      </c>
      <c r="D30" s="3">
        <v>0</v>
      </c>
      <c r="E30" s="3">
        <v>165000</v>
      </c>
      <c r="F30" s="3">
        <f>G30</f>
        <v>332000</v>
      </c>
      <c r="G30" s="3">
        <v>332000</v>
      </c>
      <c r="H30" s="5">
        <v>340000</v>
      </c>
    </row>
    <row r="31" spans="1:9" x14ac:dyDescent="0.25">
      <c r="A31" s="2" t="s">
        <v>1654</v>
      </c>
      <c r="B31" s="2" t="s">
        <v>1655</v>
      </c>
      <c r="C31" s="3">
        <v>45000</v>
      </c>
      <c r="D31" s="3">
        <v>0</v>
      </c>
      <c r="E31" s="3">
        <v>0</v>
      </c>
      <c r="F31" s="3">
        <f t="shared" ref="F31" si="0">E31/9*12</f>
        <v>0</v>
      </c>
      <c r="G31" s="3">
        <v>0</v>
      </c>
      <c r="H31" s="5">
        <v>0</v>
      </c>
    </row>
    <row r="32" spans="1:9" x14ac:dyDescent="0.25">
      <c r="A32" s="2" t="s">
        <v>1656</v>
      </c>
      <c r="B32" s="2" t="s">
        <v>1657</v>
      </c>
      <c r="C32" s="3">
        <v>390000</v>
      </c>
      <c r="D32" s="3">
        <v>0</v>
      </c>
      <c r="E32" s="3">
        <v>0</v>
      </c>
      <c r="F32" s="3">
        <f>G32</f>
        <v>400000</v>
      </c>
      <c r="G32" s="3">
        <v>400000</v>
      </c>
      <c r="H32" s="5">
        <v>408900</v>
      </c>
    </row>
    <row r="33" spans="1:8" x14ac:dyDescent="0.25">
      <c r="A33" s="2" t="s">
        <v>1658</v>
      </c>
      <c r="B33" s="2" t="s">
        <v>1659</v>
      </c>
      <c r="C33" s="3">
        <v>3520</v>
      </c>
      <c r="D33" s="3">
        <v>0</v>
      </c>
      <c r="E33" s="3">
        <v>0</v>
      </c>
      <c r="F33" s="3">
        <f>G33</f>
        <v>55680</v>
      </c>
      <c r="G33" s="3">
        <v>55680</v>
      </c>
      <c r="H33" s="5">
        <v>56480</v>
      </c>
    </row>
    <row r="34" spans="1:8" ht="15" customHeight="1" x14ac:dyDescent="0.25">
      <c r="A34" s="1" t="s">
        <v>1660</v>
      </c>
      <c r="B34" s="1" t="s">
        <v>2</v>
      </c>
      <c r="C34" s="4">
        <v>1056000</v>
      </c>
      <c r="D34" s="4">
        <v>0</v>
      </c>
      <c r="E34" s="4">
        <f>SUM(E27:E33)</f>
        <v>165000</v>
      </c>
      <c r="F34" s="4">
        <f>SUM(F27:F33)</f>
        <v>1105000</v>
      </c>
      <c r="G34" s="6">
        <f>SUM(G27:G33)</f>
        <v>1105000</v>
      </c>
      <c r="H34" s="6">
        <f>SUM(H27:H33)</f>
        <v>1128000</v>
      </c>
    </row>
    <row r="35" spans="1:8" x14ac:dyDescent="0.25">
      <c r="A35" s="1" t="s">
        <v>2</v>
      </c>
      <c r="B35" s="1" t="s">
        <v>2</v>
      </c>
      <c r="C35" s="1" t="s">
        <v>2</v>
      </c>
      <c r="D35" s="1" t="s">
        <v>2</v>
      </c>
      <c r="E35" s="1"/>
      <c r="F35" s="1"/>
      <c r="G35" s="1" t="s">
        <v>2</v>
      </c>
      <c r="H35" s="1" t="s">
        <v>2</v>
      </c>
    </row>
    <row r="36" spans="1:8" ht="15" customHeight="1" x14ac:dyDescent="0.25">
      <c r="A36" s="1" t="s">
        <v>1153</v>
      </c>
      <c r="B36" s="1" t="s">
        <v>2</v>
      </c>
    </row>
    <row r="37" spans="1:8" x14ac:dyDescent="0.25">
      <c r="A37" s="2" t="s">
        <v>1661</v>
      </c>
      <c r="B37" s="2" t="s">
        <v>1662</v>
      </c>
      <c r="C37" s="3">
        <v>14862.5</v>
      </c>
      <c r="D37" s="3">
        <v>7056.25</v>
      </c>
      <c r="E37" s="3">
        <v>7056.25</v>
      </c>
      <c r="F37" s="3">
        <f>G37</f>
        <v>14113</v>
      </c>
      <c r="G37" s="3">
        <v>14113</v>
      </c>
      <c r="H37" s="5">
        <v>13566.75</v>
      </c>
    </row>
    <row r="38" spans="1:8" x14ac:dyDescent="0.25">
      <c r="A38" s="2" t="s">
        <v>1663</v>
      </c>
      <c r="B38" s="2" t="s">
        <v>1664</v>
      </c>
      <c r="C38" s="3">
        <v>9912</v>
      </c>
      <c r="D38" s="3">
        <v>0</v>
      </c>
      <c r="E38" s="3">
        <v>0</v>
      </c>
      <c r="F38" s="3">
        <f t="shared" ref="F38:F47" si="1">E38/9*12</f>
        <v>0</v>
      </c>
      <c r="G38" s="3">
        <v>0</v>
      </c>
      <c r="H38" s="5">
        <v>0</v>
      </c>
    </row>
    <row r="39" spans="1:8" x14ac:dyDescent="0.25">
      <c r="A39" s="2" t="s">
        <v>1665</v>
      </c>
      <c r="B39" s="2" t="s">
        <v>1666</v>
      </c>
      <c r="C39" s="3">
        <v>94760.4</v>
      </c>
      <c r="D39" s="3">
        <v>40614</v>
      </c>
      <c r="E39" s="3">
        <v>40614</v>
      </c>
      <c r="F39" s="3">
        <f>G39</f>
        <v>81228</v>
      </c>
      <c r="G39" s="3">
        <v>81228</v>
      </c>
      <c r="H39" s="5">
        <v>97574.399999999994</v>
      </c>
    </row>
    <row r="40" spans="1:8" x14ac:dyDescent="0.25">
      <c r="A40" s="2" t="s">
        <v>1667</v>
      </c>
      <c r="B40" s="2" t="s">
        <v>1668</v>
      </c>
      <c r="C40" s="3">
        <v>136114.79999999999</v>
      </c>
      <c r="D40" s="3">
        <v>0</v>
      </c>
      <c r="E40" s="3">
        <v>65038</v>
      </c>
      <c r="F40" s="3">
        <f>G40</f>
        <v>128030</v>
      </c>
      <c r="G40" s="3">
        <v>128030</v>
      </c>
      <c r="H40" s="5">
        <v>119746.8</v>
      </c>
    </row>
    <row r="41" spans="1:8" x14ac:dyDescent="0.25">
      <c r="A41" s="2" t="s">
        <v>1669</v>
      </c>
      <c r="B41" s="2" t="s">
        <v>1670</v>
      </c>
      <c r="C41" s="3">
        <v>0</v>
      </c>
      <c r="D41" s="3">
        <v>0</v>
      </c>
      <c r="E41" s="3">
        <v>0</v>
      </c>
      <c r="F41" s="3">
        <f t="shared" si="1"/>
        <v>0</v>
      </c>
      <c r="G41" s="3">
        <v>0</v>
      </c>
      <c r="H41" s="5">
        <v>0</v>
      </c>
    </row>
    <row r="42" spans="1:8" x14ac:dyDescent="0.25">
      <c r="A42" s="2" t="s">
        <v>1671</v>
      </c>
      <c r="B42" s="2" t="s">
        <v>1672</v>
      </c>
      <c r="C42" s="3">
        <v>1888</v>
      </c>
      <c r="D42" s="3">
        <v>0</v>
      </c>
      <c r="E42" s="3">
        <v>0</v>
      </c>
      <c r="F42" s="3">
        <f t="shared" si="1"/>
        <v>0</v>
      </c>
      <c r="G42" s="3">
        <v>0</v>
      </c>
      <c r="H42" s="5">
        <v>0</v>
      </c>
    </row>
    <row r="43" spans="1:8" ht="15" customHeight="1" x14ac:dyDescent="0.25">
      <c r="A43" s="2" t="s">
        <v>1673</v>
      </c>
      <c r="B43" s="2" t="s">
        <v>1181</v>
      </c>
      <c r="C43" s="3">
        <v>716.93</v>
      </c>
      <c r="D43" s="3">
        <v>170</v>
      </c>
      <c r="E43" s="3">
        <v>170</v>
      </c>
      <c r="F43" s="3">
        <f>G43</f>
        <v>800</v>
      </c>
      <c r="G43" s="3">
        <v>800</v>
      </c>
      <c r="H43" s="5">
        <v>0</v>
      </c>
    </row>
    <row r="44" spans="1:8" x14ac:dyDescent="0.25">
      <c r="A44" s="2" t="s">
        <v>1674</v>
      </c>
      <c r="B44" s="2" t="s">
        <v>1675</v>
      </c>
      <c r="C44" s="3">
        <v>236450</v>
      </c>
      <c r="D44" s="3">
        <v>112375</v>
      </c>
      <c r="E44" s="3">
        <v>112375</v>
      </c>
      <c r="F44" s="3">
        <f>G44</f>
        <v>224750</v>
      </c>
      <c r="G44" s="3">
        <v>224750</v>
      </c>
      <c r="H44" s="5">
        <v>212545.75</v>
      </c>
    </row>
    <row r="45" spans="1:8" x14ac:dyDescent="0.25">
      <c r="A45" s="2" t="s">
        <v>1676</v>
      </c>
      <c r="B45" s="2" t="s">
        <v>1677</v>
      </c>
      <c r="C45" s="3">
        <v>18049.599999999999</v>
      </c>
      <c r="D45" s="3">
        <v>7736</v>
      </c>
      <c r="E45" s="3">
        <v>7736</v>
      </c>
      <c r="F45" s="3">
        <f>G45</f>
        <v>15472</v>
      </c>
      <c r="G45" s="3">
        <v>15472</v>
      </c>
      <c r="H45" s="5">
        <v>18585.599999999999</v>
      </c>
    </row>
    <row r="46" spans="1:8" x14ac:dyDescent="0.25">
      <c r="A46" s="2" t="s">
        <v>1678</v>
      </c>
      <c r="B46" s="2" t="s">
        <v>1679</v>
      </c>
      <c r="C46" s="3">
        <v>0</v>
      </c>
      <c r="D46" s="3">
        <v>0</v>
      </c>
      <c r="E46" s="3">
        <v>0</v>
      </c>
      <c r="F46" s="3">
        <f t="shared" si="1"/>
        <v>0</v>
      </c>
      <c r="G46" s="3">
        <v>0</v>
      </c>
      <c r="H46" s="5">
        <v>0</v>
      </c>
    </row>
    <row r="47" spans="1:8" ht="15" customHeight="1" x14ac:dyDescent="0.25">
      <c r="A47" s="2" t="s">
        <v>1680</v>
      </c>
      <c r="B47" s="2" t="s">
        <v>1681</v>
      </c>
      <c r="C47" s="3">
        <v>0</v>
      </c>
      <c r="D47" s="3">
        <v>0</v>
      </c>
      <c r="E47" s="3">
        <v>0</v>
      </c>
      <c r="F47" s="3">
        <f t="shared" si="1"/>
        <v>0</v>
      </c>
      <c r="G47" s="3">
        <v>0</v>
      </c>
      <c r="H47" s="5">
        <v>0</v>
      </c>
    </row>
    <row r="48" spans="1:8" ht="15" customHeight="1" x14ac:dyDescent="0.25">
      <c r="A48" s="1" t="s">
        <v>1158</v>
      </c>
      <c r="B48" s="1" t="s">
        <v>2</v>
      </c>
      <c r="C48" s="4">
        <v>512754.23</v>
      </c>
      <c r="D48" s="4">
        <v>167951.25</v>
      </c>
      <c r="E48" s="4">
        <f>SUM(E37:E47)</f>
        <v>232989.25</v>
      </c>
      <c r="F48" s="4">
        <f>SUM(F37:F47)</f>
        <v>464393</v>
      </c>
      <c r="G48" s="6">
        <f>SUM(G37:G47)</f>
        <v>464393</v>
      </c>
      <c r="H48" s="6">
        <f>SUM(H37:H47)</f>
        <v>462019.3</v>
      </c>
    </row>
    <row r="49" spans="1:9" x14ac:dyDescent="0.25">
      <c r="A49" s="1" t="s">
        <v>2</v>
      </c>
      <c r="B49" s="1" t="s">
        <v>2</v>
      </c>
      <c r="C49" s="1" t="s">
        <v>2</v>
      </c>
      <c r="D49" s="1" t="s">
        <v>2</v>
      </c>
      <c r="E49" s="1"/>
      <c r="F49" s="1"/>
      <c r="G49" s="1" t="s">
        <v>2</v>
      </c>
      <c r="H49" s="1" t="s">
        <v>2</v>
      </c>
    </row>
    <row r="50" spans="1:9" ht="15" customHeight="1" x14ac:dyDescent="0.25">
      <c r="A50" s="2" t="s">
        <v>1682</v>
      </c>
      <c r="B50" s="2" t="s">
        <v>1683</v>
      </c>
      <c r="C50" s="3">
        <v>0</v>
      </c>
      <c r="D50" s="3">
        <v>0</v>
      </c>
      <c r="E50" s="3">
        <v>0</v>
      </c>
      <c r="F50" s="3">
        <f>E50/9*12</f>
        <v>0</v>
      </c>
      <c r="G50" s="3">
        <v>0</v>
      </c>
      <c r="H50" s="5">
        <v>0</v>
      </c>
    </row>
    <row r="51" spans="1:9" ht="15" customHeight="1" x14ac:dyDescent="0.25">
      <c r="A51" s="2" t="s">
        <v>1684</v>
      </c>
      <c r="B51" s="2" t="s">
        <v>1683</v>
      </c>
      <c r="C51" s="3">
        <v>0</v>
      </c>
      <c r="D51" s="3">
        <v>0</v>
      </c>
      <c r="E51" s="3">
        <v>0</v>
      </c>
      <c r="F51" s="3">
        <f t="shared" ref="F51:F54" si="2">E51/9*12</f>
        <v>0</v>
      </c>
      <c r="G51" s="3">
        <v>0</v>
      </c>
      <c r="H51" s="5">
        <v>0</v>
      </c>
    </row>
    <row r="52" spans="1:9" ht="15" customHeight="1" x14ac:dyDescent="0.25">
      <c r="A52" s="2" t="s">
        <v>1685</v>
      </c>
      <c r="B52" s="2" t="s">
        <v>1686</v>
      </c>
      <c r="C52" s="3">
        <v>0</v>
      </c>
      <c r="D52" s="3">
        <v>0</v>
      </c>
      <c r="E52" s="3">
        <v>0</v>
      </c>
      <c r="F52" s="3">
        <f t="shared" si="2"/>
        <v>0</v>
      </c>
      <c r="G52" s="3">
        <v>0</v>
      </c>
      <c r="H52" s="5">
        <v>0</v>
      </c>
    </row>
    <row r="53" spans="1:9" ht="15" customHeight="1" x14ac:dyDescent="0.25">
      <c r="A53" s="2" t="s">
        <v>1687</v>
      </c>
      <c r="B53" s="2" t="s">
        <v>1686</v>
      </c>
      <c r="C53" s="3">
        <v>0</v>
      </c>
      <c r="D53" s="3">
        <v>0</v>
      </c>
      <c r="E53" s="3">
        <v>0</v>
      </c>
      <c r="F53" s="3">
        <f t="shared" si="2"/>
        <v>0</v>
      </c>
      <c r="G53" s="3">
        <v>0</v>
      </c>
      <c r="H53" s="5">
        <v>0</v>
      </c>
    </row>
    <row r="54" spans="1:9" ht="15" customHeight="1" x14ac:dyDescent="0.25">
      <c r="A54" s="2" t="s">
        <v>1688</v>
      </c>
      <c r="B54" s="2" t="s">
        <v>1689</v>
      </c>
      <c r="C54" s="3">
        <v>0</v>
      </c>
      <c r="D54" s="3">
        <v>0</v>
      </c>
      <c r="E54" s="3">
        <v>0</v>
      </c>
      <c r="F54" s="3">
        <f t="shared" si="2"/>
        <v>0</v>
      </c>
      <c r="G54" s="3">
        <v>0</v>
      </c>
      <c r="H54" s="5">
        <v>0</v>
      </c>
    </row>
    <row r="55" spans="1:9" x14ac:dyDescent="0.25">
      <c r="A55" s="1" t="s">
        <v>2</v>
      </c>
      <c r="B55" s="1" t="s">
        <v>2</v>
      </c>
      <c r="C55" s="1" t="s">
        <v>2</v>
      </c>
      <c r="D55" s="1" t="s">
        <v>2</v>
      </c>
      <c r="E55" s="1"/>
      <c r="F55" s="1"/>
      <c r="G55" s="1" t="s">
        <v>2</v>
      </c>
      <c r="H55" s="1" t="s">
        <v>2</v>
      </c>
    </row>
    <row r="56" spans="1:9" ht="15" customHeight="1" x14ac:dyDescent="0.25">
      <c r="A56" s="1" t="s">
        <v>1690</v>
      </c>
      <c r="B56" s="1" t="s">
        <v>2</v>
      </c>
      <c r="C56" s="4">
        <v>1568754.23</v>
      </c>
      <c r="D56" s="4">
        <v>167951.25</v>
      </c>
      <c r="E56" s="4">
        <f>E34+E48+SUM(E50:E54)</f>
        <v>397989.25</v>
      </c>
      <c r="F56" s="4">
        <f>F34+F48+SUM(F50:F54)</f>
        <v>1569393</v>
      </c>
      <c r="G56" s="6">
        <f>SUM(G50:G54)+G48+G34</f>
        <v>1569393</v>
      </c>
      <c r="H56" s="6">
        <f>SUM(H50:H54)+H48+H34</f>
        <v>1590019.3</v>
      </c>
    </row>
    <row r="57" spans="1:9" ht="15" customHeight="1" x14ac:dyDescent="0.25">
      <c r="A57" s="291" t="s">
        <v>3028</v>
      </c>
      <c r="B57" s="291" t="s">
        <v>2</v>
      </c>
      <c r="C57" s="294">
        <f>C7+C23-C56</f>
        <v>3964.4899999999907</v>
      </c>
      <c r="D57" s="294">
        <f t="shared" ref="D57:H57" si="3">D7+D23-D56</f>
        <v>-163983.96</v>
      </c>
      <c r="E57" s="294">
        <f t="shared" si="3"/>
        <v>3972.7399999999907</v>
      </c>
      <c r="F57" s="294">
        <f t="shared" si="3"/>
        <v>3175.4899999999907</v>
      </c>
      <c r="G57" s="294">
        <f t="shared" si="3"/>
        <v>3164.4899999999907</v>
      </c>
      <c r="H57" s="294">
        <f t="shared" si="3"/>
        <v>8156.1899999999441</v>
      </c>
      <c r="I57" s="291"/>
    </row>
    <row r="58" spans="1:9" x14ac:dyDescent="0.25">
      <c r="A58" s="1" t="s">
        <v>2</v>
      </c>
      <c r="B58" s="1" t="s">
        <v>2</v>
      </c>
      <c r="C58" s="1" t="s">
        <v>2</v>
      </c>
      <c r="D58" s="1" t="s">
        <v>2</v>
      </c>
      <c r="E58" s="1"/>
      <c r="F58" s="1"/>
      <c r="G58" s="1" t="s">
        <v>2</v>
      </c>
      <c r="H58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ignoredErrors>
    <ignoredError sqref="F28 F31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EC508-52C2-4333-91C5-E4814677D640}">
  <sheetPr>
    <tabColor rgb="FF92D050"/>
  </sheetPr>
  <dimension ref="A1:Q114"/>
  <sheetViews>
    <sheetView workbookViewId="0">
      <selection activeCell="N31" sqref="N31"/>
    </sheetView>
  </sheetViews>
  <sheetFormatPr defaultRowHeight="15" x14ac:dyDescent="0.25"/>
  <cols>
    <col min="1" max="1" width="10.7109375" customWidth="1"/>
    <col min="2" max="9" width="12.7109375" customWidth="1"/>
    <col min="10" max="10" width="13.28515625" bestFit="1" customWidth="1"/>
    <col min="11" max="13" width="12.7109375" customWidth="1"/>
    <col min="14" max="14" width="13.28515625" bestFit="1" customWidth="1"/>
    <col min="15" max="15" width="14.28515625" bestFit="1" customWidth="1"/>
    <col min="16" max="17" width="13.28515625" bestFit="1" customWidth="1"/>
    <col min="18" max="19" width="10.7109375" customWidth="1"/>
  </cols>
  <sheetData>
    <row r="1" spans="1:15" x14ac:dyDescent="0.25">
      <c r="A1" s="262" t="s">
        <v>2029</v>
      </c>
      <c r="O1" s="260" t="s">
        <v>4052</v>
      </c>
    </row>
    <row r="2" spans="1:15" x14ac:dyDescent="0.25">
      <c r="A2" t="s">
        <v>2028</v>
      </c>
    </row>
    <row r="3" spans="1:15" x14ac:dyDescent="0.25">
      <c r="J3" s="241">
        <v>1932235.22</v>
      </c>
    </row>
    <row r="4" spans="1:15" x14ac:dyDescent="0.25">
      <c r="J4" s="258">
        <v>1949070.41</v>
      </c>
      <c r="K4" t="s">
        <v>4057</v>
      </c>
    </row>
    <row r="10" spans="1:15" x14ac:dyDescent="0.25">
      <c r="J10">
        <v>1932235.22</v>
      </c>
      <c r="K10" t="s">
        <v>4187</v>
      </c>
    </row>
    <row r="11" spans="1:15" x14ac:dyDescent="0.25">
      <c r="J11">
        <v>2169.4499999999998</v>
      </c>
      <c r="K11" t="s">
        <v>4188</v>
      </c>
    </row>
    <row r="12" spans="1:15" x14ac:dyDescent="0.25">
      <c r="J12" s="319">
        <f>SUM(J10:J11)</f>
        <v>1934404.67</v>
      </c>
      <c r="K12" t="s">
        <v>4189</v>
      </c>
    </row>
    <row r="17" spans="1:17" x14ac:dyDescent="0.25">
      <c r="M17" s="260"/>
    </row>
    <row r="18" spans="1:17" x14ac:dyDescent="0.25">
      <c r="M18" s="260"/>
    </row>
    <row r="19" spans="1:17" x14ac:dyDescent="0.25">
      <c r="M19" s="260"/>
    </row>
    <row r="20" spans="1:17" x14ac:dyDescent="0.25">
      <c r="A20" s="262" t="s">
        <v>2031</v>
      </c>
      <c r="M20" s="260"/>
    </row>
    <row r="21" spans="1:17" x14ac:dyDescent="0.25">
      <c r="A21" t="s">
        <v>2030</v>
      </c>
    </row>
    <row r="22" spans="1:17" x14ac:dyDescent="0.25">
      <c r="O22" t="s">
        <v>4051</v>
      </c>
    </row>
    <row r="23" spans="1:17" x14ac:dyDescent="0.25">
      <c r="C23" s="255" t="s">
        <v>4038</v>
      </c>
      <c r="D23" s="255" t="s">
        <v>4039</v>
      </c>
      <c r="E23" s="255" t="s">
        <v>4040</v>
      </c>
      <c r="F23" s="255" t="s">
        <v>4041</v>
      </c>
      <c r="G23" s="255" t="s">
        <v>4042</v>
      </c>
      <c r="H23" s="255" t="s">
        <v>4043</v>
      </c>
      <c r="I23" s="255" t="s">
        <v>4044</v>
      </c>
      <c r="J23" s="255" t="s">
        <v>4045</v>
      </c>
      <c r="K23" s="255" t="s">
        <v>4046</v>
      </c>
      <c r="L23" s="255" t="s">
        <v>4047</v>
      </c>
      <c r="M23" s="255" t="s">
        <v>4048</v>
      </c>
      <c r="N23" s="255" t="s">
        <v>4049</v>
      </c>
      <c r="O23" s="255" t="s">
        <v>4050</v>
      </c>
      <c r="P23" s="255" t="s">
        <v>3518</v>
      </c>
    </row>
    <row r="24" spans="1:17" x14ac:dyDescent="0.25">
      <c r="C24" s="255">
        <v>2020</v>
      </c>
      <c r="D24" s="241">
        <v>206864.39</v>
      </c>
      <c r="E24" s="241">
        <v>217776.89</v>
      </c>
      <c r="F24" s="241">
        <v>185391.51</v>
      </c>
      <c r="G24" s="241">
        <v>167325.16</v>
      </c>
      <c r="H24" s="241">
        <v>195285.46</v>
      </c>
      <c r="I24" s="241">
        <v>208356.31</v>
      </c>
      <c r="J24" s="241">
        <v>245873.49</v>
      </c>
      <c r="K24" s="241">
        <v>254631.11</v>
      </c>
      <c r="L24" s="241">
        <v>253567.53</v>
      </c>
      <c r="M24" s="241">
        <v>238591.19</v>
      </c>
      <c r="N24" s="241">
        <v>291610.21000000002</v>
      </c>
      <c r="O24" s="241">
        <v>255810.92</v>
      </c>
      <c r="P24" s="241">
        <f>SUM(D24:O24)</f>
        <v>2721084.17</v>
      </c>
      <c r="Q24" s="241">
        <v>2150000</v>
      </c>
    </row>
    <row r="25" spans="1:17" x14ac:dyDescent="0.25">
      <c r="C25" s="255">
        <v>2021</v>
      </c>
      <c r="D25" s="241">
        <v>256366.7</v>
      </c>
      <c r="E25" s="241">
        <v>275029.39</v>
      </c>
      <c r="F25" s="241">
        <v>225166.27</v>
      </c>
      <c r="G25" s="241">
        <v>204842.51</v>
      </c>
      <c r="H25" s="241">
        <v>283447.28000000003</v>
      </c>
      <c r="I25" s="241">
        <v>260570.78</v>
      </c>
      <c r="J25" s="241">
        <v>288432.15999999997</v>
      </c>
      <c r="K25" s="241">
        <v>326495.45</v>
      </c>
      <c r="L25" s="241">
        <v>307591.65999999997</v>
      </c>
      <c r="M25" s="241">
        <v>266393.09000000003</v>
      </c>
      <c r="N25" s="241">
        <v>335900.34</v>
      </c>
      <c r="O25" s="241">
        <v>359404.32</v>
      </c>
      <c r="P25" s="241">
        <f>SUM(D25:O25)</f>
        <v>3389639.9499999997</v>
      </c>
      <c r="Q25" s="241">
        <v>2350000</v>
      </c>
    </row>
    <row r="26" spans="1:17" x14ac:dyDescent="0.25">
      <c r="C26" s="255">
        <v>2022</v>
      </c>
      <c r="D26" s="241">
        <v>267928.65000000002</v>
      </c>
      <c r="E26" s="241">
        <v>342181.81</v>
      </c>
      <c r="F26" s="241">
        <v>259062.93</v>
      </c>
      <c r="G26" s="241">
        <v>322870.34999999998</v>
      </c>
      <c r="H26" s="241">
        <v>360857.22</v>
      </c>
      <c r="I26" s="241">
        <v>376676.83</v>
      </c>
      <c r="J26" s="241">
        <v>323900.06</v>
      </c>
      <c r="K26" s="241">
        <v>407233.99</v>
      </c>
      <c r="L26" s="241">
        <v>349678.94</v>
      </c>
      <c r="M26" s="241">
        <v>329090.5</v>
      </c>
      <c r="N26" s="241">
        <v>394059</v>
      </c>
      <c r="O26" s="259">
        <f>O25*1.1</f>
        <v>395344.75200000004</v>
      </c>
      <c r="P26" s="241">
        <f>SUM(D26:O26)</f>
        <v>4128885.0319999997</v>
      </c>
      <c r="Q26" s="241">
        <v>2800000</v>
      </c>
    </row>
    <row r="27" spans="1:17" x14ac:dyDescent="0.25">
      <c r="P27" s="257"/>
    </row>
    <row r="28" spans="1:17" x14ac:dyDescent="0.25">
      <c r="C28" s="264" t="s">
        <v>4053</v>
      </c>
      <c r="D28" s="256">
        <f t="shared" ref="D28:P28" si="0">(D25-D24)/D24</f>
        <v>0.23929836353178038</v>
      </c>
      <c r="E28" s="256">
        <f t="shared" si="0"/>
        <v>0.26289520435340957</v>
      </c>
      <c r="F28" s="256">
        <f t="shared" si="0"/>
        <v>0.21454466819974646</v>
      </c>
      <c r="G28" s="256">
        <f t="shared" si="0"/>
        <v>0.22421822277056244</v>
      </c>
      <c r="H28" s="256">
        <f t="shared" si="0"/>
        <v>0.45145101944609722</v>
      </c>
      <c r="I28" s="256">
        <f t="shared" si="0"/>
        <v>0.25060181762673761</v>
      </c>
      <c r="J28" s="256">
        <f t="shared" si="0"/>
        <v>0.1730917391704164</v>
      </c>
      <c r="K28" s="256">
        <f t="shared" si="0"/>
        <v>0.28222922171607401</v>
      </c>
      <c r="L28" s="256">
        <f t="shared" si="0"/>
        <v>0.21305618270604273</v>
      </c>
      <c r="M28" s="256">
        <f t="shared" si="0"/>
        <v>0.11652525812038585</v>
      </c>
      <c r="N28" s="256">
        <f t="shared" si="0"/>
        <v>0.15188127329286585</v>
      </c>
      <c r="O28" s="256">
        <f t="shared" si="0"/>
        <v>0.40496082028085428</v>
      </c>
      <c r="P28" s="256">
        <f t="shared" si="0"/>
        <v>0.24569463428248153</v>
      </c>
    </row>
    <row r="29" spans="1:17" ht="15.75" thickBot="1" x14ac:dyDescent="0.3">
      <c r="C29" s="264" t="s">
        <v>4054</v>
      </c>
      <c r="D29" s="256">
        <f t="shared" ref="D29:O29" si="1">(D26-D25)/D25</f>
        <v>4.5099266012317556E-2</v>
      </c>
      <c r="E29" s="256">
        <f t="shared" si="1"/>
        <v>0.24416452365327204</v>
      </c>
      <c r="F29" s="256">
        <f t="shared" si="1"/>
        <v>0.1505405760818439</v>
      </c>
      <c r="G29" s="256">
        <f t="shared" si="1"/>
        <v>0.5761882140577167</v>
      </c>
      <c r="H29" s="256">
        <f t="shared" si="1"/>
        <v>0.27310172106784703</v>
      </c>
      <c r="I29" s="256">
        <f t="shared" si="1"/>
        <v>0.44558353780113036</v>
      </c>
      <c r="J29" s="256">
        <f t="shared" si="1"/>
        <v>0.12296791037448815</v>
      </c>
      <c r="K29" s="256">
        <f t="shared" si="1"/>
        <v>0.24728840784764375</v>
      </c>
      <c r="L29" s="256">
        <f t="shared" si="1"/>
        <v>0.13682841725942774</v>
      </c>
      <c r="M29" s="256">
        <f t="shared" si="1"/>
        <v>0.23535674292452544</v>
      </c>
      <c r="N29" s="256">
        <f t="shared" si="1"/>
        <v>0.17314260533347473</v>
      </c>
      <c r="O29" s="265">
        <f t="shared" si="1"/>
        <v>0.10000000000000007</v>
      </c>
      <c r="P29" s="261">
        <f>AVERAGE(D29:O29)</f>
        <v>0.22918849353447393</v>
      </c>
    </row>
    <row r="30" spans="1:17" ht="15.75" thickBot="1" x14ac:dyDescent="0.3">
      <c r="N30" s="261">
        <f>P29-3%</f>
        <v>0.19918849353447393</v>
      </c>
      <c r="O30" s="266">
        <f>(Q26*N30)+Q26</f>
        <v>3357727.7818965269</v>
      </c>
    </row>
    <row r="33" spans="1:17" x14ac:dyDescent="0.25">
      <c r="A33" s="262" t="s">
        <v>2033</v>
      </c>
    </row>
    <row r="34" spans="1:17" x14ac:dyDescent="0.25">
      <c r="A34" t="s">
        <v>2032</v>
      </c>
    </row>
    <row r="36" spans="1:17" x14ac:dyDescent="0.25">
      <c r="C36" s="255" t="s">
        <v>4038</v>
      </c>
      <c r="D36" s="255" t="s">
        <v>4039</v>
      </c>
      <c r="E36" s="255" t="s">
        <v>4040</v>
      </c>
      <c r="F36" s="255" t="s">
        <v>4041</v>
      </c>
      <c r="G36" s="255" t="s">
        <v>4042</v>
      </c>
      <c r="H36" s="255" t="s">
        <v>4043</v>
      </c>
      <c r="I36" s="255" t="s">
        <v>4044</v>
      </c>
      <c r="J36" s="255" t="s">
        <v>4045</v>
      </c>
      <c r="K36" s="255" t="s">
        <v>4046</v>
      </c>
      <c r="L36" s="255" t="s">
        <v>4047</v>
      </c>
      <c r="M36" s="255" t="s">
        <v>4048</v>
      </c>
      <c r="N36" s="255" t="s">
        <v>4049</v>
      </c>
      <c r="O36" s="255" t="s">
        <v>4050</v>
      </c>
      <c r="P36" s="255" t="s">
        <v>3518</v>
      </c>
    </row>
    <row r="37" spans="1:17" x14ac:dyDescent="0.25">
      <c r="C37" s="255">
        <v>2020</v>
      </c>
      <c r="D37" s="241">
        <v>16599.45</v>
      </c>
      <c r="E37" s="241">
        <v>20146.53</v>
      </c>
      <c r="F37" s="241">
        <v>14893.36</v>
      </c>
      <c r="G37" s="241">
        <v>13397.05</v>
      </c>
      <c r="H37" s="241">
        <v>13277.9</v>
      </c>
      <c r="I37" s="241">
        <v>12999.83</v>
      </c>
      <c r="J37" s="241">
        <v>16381.29</v>
      </c>
      <c r="K37" s="241">
        <v>17814.54</v>
      </c>
      <c r="L37" s="241">
        <v>18017.16</v>
      </c>
      <c r="M37" s="241">
        <v>17414.18</v>
      </c>
      <c r="N37" s="241">
        <v>19611.09</v>
      </c>
      <c r="O37" s="241">
        <v>17670.939999999999</v>
      </c>
      <c r="P37" s="241">
        <f>SUM(D37:O37)</f>
        <v>198223.32</v>
      </c>
      <c r="Q37" s="241">
        <v>182750</v>
      </c>
    </row>
    <row r="38" spans="1:17" x14ac:dyDescent="0.25">
      <c r="C38" s="255">
        <v>2021</v>
      </c>
      <c r="D38" s="241">
        <v>17008.62</v>
      </c>
      <c r="E38" s="241">
        <v>21168.55</v>
      </c>
      <c r="F38" s="241">
        <v>16056.58</v>
      </c>
      <c r="G38" s="241">
        <v>15868.97</v>
      </c>
      <c r="H38" s="241">
        <v>20113.810000000001</v>
      </c>
      <c r="I38" s="241">
        <v>19557.13</v>
      </c>
      <c r="J38" s="241">
        <v>19515.8</v>
      </c>
      <c r="K38" s="241">
        <v>21718.33</v>
      </c>
      <c r="L38" s="241">
        <v>20762.59</v>
      </c>
      <c r="M38" s="241">
        <v>20550.66</v>
      </c>
      <c r="N38" s="241">
        <v>21935.58</v>
      </c>
      <c r="O38" s="241">
        <v>20772.939999999999</v>
      </c>
      <c r="P38" s="241">
        <f>SUM(D38:O38)</f>
        <v>235029.56</v>
      </c>
      <c r="Q38" s="241">
        <v>199750</v>
      </c>
    </row>
    <row r="39" spans="1:17" x14ac:dyDescent="0.25">
      <c r="C39" s="255">
        <v>2022</v>
      </c>
      <c r="D39" s="241">
        <v>20412.57</v>
      </c>
      <c r="E39" s="241">
        <v>24027.919999999998</v>
      </c>
      <c r="F39" s="241">
        <v>18605.939999999999</v>
      </c>
      <c r="G39" s="241">
        <v>19740.849999999999</v>
      </c>
      <c r="H39" s="241">
        <v>23721.1</v>
      </c>
      <c r="I39" s="241">
        <v>22768.23</v>
      </c>
      <c r="J39" s="241">
        <v>23012.87</v>
      </c>
      <c r="K39" s="241">
        <v>25348.69</v>
      </c>
      <c r="L39" s="241">
        <v>25018.49</v>
      </c>
      <c r="M39" s="241">
        <v>25069.11</v>
      </c>
      <c r="N39" s="241">
        <v>26938.841</v>
      </c>
      <c r="O39" s="259">
        <f>O38*1.1</f>
        <v>22850.234</v>
      </c>
      <c r="P39" s="241">
        <f>SUM(D39:O39)</f>
        <v>277514.84500000003</v>
      </c>
      <c r="Q39" s="241">
        <v>201600</v>
      </c>
    </row>
    <row r="41" spans="1:17" x14ac:dyDescent="0.25">
      <c r="C41" s="264" t="s">
        <v>4053</v>
      </c>
      <c r="D41" s="256">
        <f t="shared" ref="D41:P41" si="2">(D38-D37)/D37</f>
        <v>2.4649611884731016E-2</v>
      </c>
      <c r="E41" s="256">
        <f t="shared" si="2"/>
        <v>5.0729331552381504E-2</v>
      </c>
      <c r="F41" s="256">
        <f t="shared" si="2"/>
        <v>7.8103262124866332E-2</v>
      </c>
      <c r="G41" s="256">
        <f t="shared" si="2"/>
        <v>0.18451226202783449</v>
      </c>
      <c r="H41" s="256">
        <f t="shared" si="2"/>
        <v>0.51483367098712918</v>
      </c>
      <c r="I41" s="256">
        <f t="shared" si="2"/>
        <v>0.50441428849454195</v>
      </c>
      <c r="J41" s="256">
        <f t="shared" si="2"/>
        <v>0.19134695741299973</v>
      </c>
      <c r="K41" s="256">
        <f t="shared" si="2"/>
        <v>0.21913504362167088</v>
      </c>
      <c r="L41" s="256">
        <f t="shared" si="2"/>
        <v>0.15237862126994489</v>
      </c>
      <c r="M41" s="256">
        <f t="shared" si="2"/>
        <v>0.18011069140206426</v>
      </c>
      <c r="N41" s="256">
        <f t="shared" si="2"/>
        <v>0.11852936272282681</v>
      </c>
      <c r="O41" s="256">
        <f t="shared" si="2"/>
        <v>0.1755424442615956</v>
      </c>
      <c r="P41" s="256">
        <f t="shared" si="2"/>
        <v>0.18568067571464342</v>
      </c>
    </row>
    <row r="42" spans="1:17" ht="15.75" thickBot="1" x14ac:dyDescent="0.3">
      <c r="C42" s="264" t="s">
        <v>4054</v>
      </c>
      <c r="D42" s="256">
        <f t="shared" ref="D42:O42" si="3">(D39-D38)/D38</f>
        <v>0.20013087481524081</v>
      </c>
      <c r="E42" s="256">
        <f t="shared" si="3"/>
        <v>0.13507632785429324</v>
      </c>
      <c r="F42" s="256">
        <f t="shared" si="3"/>
        <v>0.15877353707950254</v>
      </c>
      <c r="G42" s="256">
        <f t="shared" si="3"/>
        <v>0.24399063077187741</v>
      </c>
      <c r="H42" s="256">
        <f t="shared" si="3"/>
        <v>0.17934394329070411</v>
      </c>
      <c r="I42" s="256">
        <f t="shared" si="3"/>
        <v>0.16419075805090003</v>
      </c>
      <c r="J42" s="256">
        <f t="shared" si="3"/>
        <v>0.17919173182754486</v>
      </c>
      <c r="K42" s="256">
        <f t="shared" si="3"/>
        <v>0.16715649868106786</v>
      </c>
      <c r="L42" s="256">
        <f t="shared" si="3"/>
        <v>0.20497924391899092</v>
      </c>
      <c r="M42" s="256">
        <f t="shared" si="3"/>
        <v>0.21986885092741551</v>
      </c>
      <c r="N42" s="265">
        <f t="shared" si="3"/>
        <v>0.22808884014008282</v>
      </c>
      <c r="O42" s="265">
        <f t="shared" si="3"/>
        <v>0.10000000000000009</v>
      </c>
      <c r="P42" s="261">
        <f>AVERAGE(D42:O42)</f>
        <v>0.18173260311313502</v>
      </c>
    </row>
    <row r="43" spans="1:17" ht="15.75" thickBot="1" x14ac:dyDescent="0.3">
      <c r="N43" s="256">
        <f>P42-2%</f>
        <v>0.16173260311313503</v>
      </c>
      <c r="O43" s="266">
        <f>(Q39*N43)+Q39</f>
        <v>234205.29278760802</v>
      </c>
    </row>
    <row r="44" spans="1:17" x14ac:dyDescent="0.25">
      <c r="N44" s="256"/>
      <c r="O44" s="263"/>
    </row>
    <row r="46" spans="1:17" x14ac:dyDescent="0.25">
      <c r="A46" s="262" t="s">
        <v>2041</v>
      </c>
    </row>
    <row r="47" spans="1:17" x14ac:dyDescent="0.25">
      <c r="A47" t="s">
        <v>2040</v>
      </c>
      <c r="O47" s="257"/>
    </row>
    <row r="48" spans="1:17" x14ac:dyDescent="0.25">
      <c r="O48" s="257"/>
    </row>
    <row r="49" spans="1:17" x14ac:dyDescent="0.25">
      <c r="C49" s="255" t="s">
        <v>4038</v>
      </c>
      <c r="D49" s="255" t="s">
        <v>4039</v>
      </c>
      <c r="E49" s="255" t="s">
        <v>4040</v>
      </c>
      <c r="F49" s="255" t="s">
        <v>4041</v>
      </c>
      <c r="G49" s="255" t="s">
        <v>4042</v>
      </c>
      <c r="H49" s="255" t="s">
        <v>4043</v>
      </c>
      <c r="I49" s="255" t="s">
        <v>4044</v>
      </c>
      <c r="J49" s="255" t="s">
        <v>4045</v>
      </c>
      <c r="K49" s="255" t="s">
        <v>4046</v>
      </c>
      <c r="L49" s="255" t="s">
        <v>4047</v>
      </c>
      <c r="M49" s="255" t="s">
        <v>4048</v>
      </c>
      <c r="N49" s="255" t="s">
        <v>4049</v>
      </c>
      <c r="O49" s="255" t="s">
        <v>4050</v>
      </c>
      <c r="P49" s="255" t="s">
        <v>3518</v>
      </c>
    </row>
    <row r="50" spans="1:17" x14ac:dyDescent="0.25">
      <c r="C50" s="255">
        <v>2020</v>
      </c>
      <c r="D50" s="241">
        <v>20005.72</v>
      </c>
      <c r="E50" s="241">
        <v>29149.43</v>
      </c>
      <c r="F50" s="241">
        <v>7466.13</v>
      </c>
      <c r="G50" s="241">
        <v>24792.2</v>
      </c>
      <c r="H50" s="241">
        <v>15963.02</v>
      </c>
      <c r="I50" s="241">
        <v>15148.21</v>
      </c>
      <c r="J50" s="241">
        <v>16071.23</v>
      </c>
      <c r="K50" s="241">
        <v>15951.31</v>
      </c>
      <c r="L50" s="241">
        <v>15538.83</v>
      </c>
      <c r="M50" s="241">
        <v>11006.37</v>
      </c>
      <c r="N50" s="241">
        <v>13275.72</v>
      </c>
      <c r="O50" s="241">
        <v>8363.7199999999993</v>
      </c>
      <c r="P50" s="241">
        <f>SUM(D50:O50)</f>
        <v>192731.88999999998</v>
      </c>
      <c r="Q50" s="241">
        <v>245000</v>
      </c>
    </row>
    <row r="51" spans="1:17" x14ac:dyDescent="0.25">
      <c r="C51" s="255">
        <v>2021</v>
      </c>
      <c r="D51" s="241">
        <v>18820.23</v>
      </c>
      <c r="E51" s="241">
        <v>15552.42</v>
      </c>
      <c r="F51" s="241">
        <v>20590.36</v>
      </c>
      <c r="G51" s="241">
        <v>12276.22</v>
      </c>
      <c r="H51" s="241">
        <v>5652.18</v>
      </c>
      <c r="I51" s="241">
        <v>13675.28</v>
      </c>
      <c r="J51" s="241">
        <v>12815.82</v>
      </c>
      <c r="K51" s="241">
        <v>11507.85</v>
      </c>
      <c r="L51" s="241">
        <v>11193.27</v>
      </c>
      <c r="M51" s="241">
        <v>11510.78</v>
      </c>
      <c r="N51" s="241">
        <v>13867.41</v>
      </c>
      <c r="O51" s="241">
        <v>11164.56</v>
      </c>
      <c r="P51" s="241">
        <f>SUM(D51:O51)</f>
        <v>158626.38000000003</v>
      </c>
      <c r="Q51" s="241">
        <v>220000</v>
      </c>
    </row>
    <row r="52" spans="1:17" x14ac:dyDescent="0.25">
      <c r="C52" s="255">
        <v>2022</v>
      </c>
      <c r="D52" s="241">
        <v>26130.5</v>
      </c>
      <c r="E52" s="241">
        <v>8544.0300000000007</v>
      </c>
      <c r="F52" s="241">
        <v>16448.5</v>
      </c>
      <c r="G52" s="241">
        <v>11255.37</v>
      </c>
      <c r="H52" s="241">
        <v>11235.65</v>
      </c>
      <c r="I52" s="241">
        <v>10589.16</v>
      </c>
      <c r="J52" s="241">
        <v>11537.93</v>
      </c>
      <c r="K52" s="241">
        <v>12825.62</v>
      </c>
      <c r="L52" s="241">
        <v>11707.24</v>
      </c>
      <c r="M52" s="241">
        <v>11793.7</v>
      </c>
      <c r="N52" s="241">
        <v>11658.57</v>
      </c>
      <c r="O52" s="259">
        <f>O51*1.02</f>
        <v>11387.851199999999</v>
      </c>
      <c r="P52" s="241">
        <f>SUM(D52:O52)</f>
        <v>155114.12120000002</v>
      </c>
      <c r="Q52" s="241">
        <v>150000</v>
      </c>
    </row>
    <row r="54" spans="1:17" x14ac:dyDescent="0.25">
      <c r="C54" s="264" t="s">
        <v>4053</v>
      </c>
      <c r="D54" s="256">
        <f t="shared" ref="D54:P54" si="4">(D51-D50)/D50</f>
        <v>-5.9257552340030828E-2</v>
      </c>
      <c r="E54" s="256">
        <f t="shared" si="4"/>
        <v>-0.46645886386114582</v>
      </c>
      <c r="F54" s="256">
        <f t="shared" si="4"/>
        <v>1.7578357194423349</v>
      </c>
      <c r="G54" s="256">
        <f t="shared" si="4"/>
        <v>-0.50483539177644587</v>
      </c>
      <c r="H54" s="256">
        <f t="shared" si="4"/>
        <v>-0.64592038348633274</v>
      </c>
      <c r="I54" s="256">
        <f t="shared" si="4"/>
        <v>-9.7234590753626907E-2</v>
      </c>
      <c r="J54" s="256">
        <f t="shared" si="4"/>
        <v>-0.20256134720242322</v>
      </c>
      <c r="K54" s="256">
        <f t="shared" si="4"/>
        <v>-0.27856395493536262</v>
      </c>
      <c r="L54" s="256">
        <f t="shared" si="4"/>
        <v>-0.27965812097822035</v>
      </c>
      <c r="M54" s="256">
        <f t="shared" si="4"/>
        <v>4.5828915437151375E-2</v>
      </c>
      <c r="N54" s="256">
        <f t="shared" si="4"/>
        <v>4.4569334092614224E-2</v>
      </c>
      <c r="O54" s="256">
        <f t="shared" si="4"/>
        <v>0.33487969468131412</v>
      </c>
      <c r="P54" s="256">
        <f t="shared" si="4"/>
        <v>-0.1769583123996758</v>
      </c>
    </row>
    <row r="55" spans="1:17" ht="15.75" thickBot="1" x14ac:dyDescent="0.3">
      <c r="C55" s="264" t="s">
        <v>4054</v>
      </c>
      <c r="D55" s="256">
        <f t="shared" ref="D55:O55" si="5">(D52-D51)/D51</f>
        <v>0.38842617757593828</v>
      </c>
      <c r="E55" s="256">
        <f t="shared" si="5"/>
        <v>-0.45063019131427773</v>
      </c>
      <c r="F55" s="256">
        <f t="shared" si="5"/>
        <v>-0.20115529791611222</v>
      </c>
      <c r="G55" s="256">
        <f t="shared" si="5"/>
        <v>-8.315670458822004E-2</v>
      </c>
      <c r="H55" s="256">
        <f t="shared" si="5"/>
        <v>0.98784362847609219</v>
      </c>
      <c r="I55" s="256">
        <f t="shared" si="5"/>
        <v>-0.22567143049356214</v>
      </c>
      <c r="J55" s="256">
        <f t="shared" si="5"/>
        <v>-9.9711918550666245E-2</v>
      </c>
      <c r="K55" s="256">
        <f t="shared" si="5"/>
        <v>0.11451052976881002</v>
      </c>
      <c r="L55" s="256">
        <f t="shared" si="5"/>
        <v>4.5917770231576595E-2</v>
      </c>
      <c r="M55" s="256">
        <f t="shared" si="5"/>
        <v>2.4578699271465537E-2</v>
      </c>
      <c r="N55" s="265">
        <f t="shared" si="5"/>
        <v>-0.15928280767641542</v>
      </c>
      <c r="O55" s="265">
        <f t="shared" si="5"/>
        <v>1.9999999999999969E-2</v>
      </c>
      <c r="P55" s="261">
        <f>AVERAGE(D55:O55)</f>
        <v>3.0139037898719055E-2</v>
      </c>
    </row>
    <row r="56" spans="1:17" ht="15.75" thickBot="1" x14ac:dyDescent="0.3">
      <c r="N56" s="256">
        <v>-0.1</v>
      </c>
      <c r="O56" s="266">
        <f>(Q52*N56)+Q52</f>
        <v>135000</v>
      </c>
    </row>
    <row r="57" spans="1:17" x14ac:dyDescent="0.25">
      <c r="C57" t="s">
        <v>4055</v>
      </c>
      <c r="O57" s="257"/>
    </row>
    <row r="58" spans="1:17" x14ac:dyDescent="0.25">
      <c r="O58" s="257"/>
    </row>
    <row r="59" spans="1:17" x14ac:dyDescent="0.25">
      <c r="O59" s="257"/>
    </row>
    <row r="60" spans="1:17" x14ac:dyDescent="0.25">
      <c r="O60" s="257"/>
    </row>
    <row r="61" spans="1:17" x14ac:dyDescent="0.25">
      <c r="O61" s="257"/>
    </row>
    <row r="63" spans="1:17" x14ac:dyDescent="0.25">
      <c r="A63" s="262" t="s">
        <v>2170</v>
      </c>
    </row>
    <row r="64" spans="1:17" x14ac:dyDescent="0.25">
      <c r="A64" t="s">
        <v>2169</v>
      </c>
      <c r="D64" s="258">
        <v>122171</v>
      </c>
    </row>
    <row r="66" spans="1:10" x14ac:dyDescent="0.25">
      <c r="A66" s="262" t="s">
        <v>2168</v>
      </c>
    </row>
    <row r="67" spans="1:10" x14ac:dyDescent="0.25">
      <c r="A67" t="s">
        <v>2167</v>
      </c>
      <c r="D67" s="258">
        <v>109554</v>
      </c>
    </row>
    <row r="69" spans="1:10" x14ac:dyDescent="0.25">
      <c r="A69" s="262" t="s">
        <v>2729</v>
      </c>
    </row>
    <row r="70" spans="1:10" x14ac:dyDescent="0.25">
      <c r="A70" t="s">
        <v>2728</v>
      </c>
      <c r="D70" s="258">
        <v>5749</v>
      </c>
    </row>
    <row r="72" spans="1:10" x14ac:dyDescent="0.25">
      <c r="A72" s="262" t="s">
        <v>2731</v>
      </c>
    </row>
    <row r="73" spans="1:10" x14ac:dyDescent="0.25">
      <c r="A73" t="s">
        <v>2730</v>
      </c>
      <c r="D73" s="258">
        <v>20282</v>
      </c>
    </row>
    <row r="75" spans="1:10" x14ac:dyDescent="0.25">
      <c r="A75" s="262" t="s">
        <v>2641</v>
      </c>
    </row>
    <row r="76" spans="1:10" x14ac:dyDescent="0.25">
      <c r="A76" t="s">
        <v>2640</v>
      </c>
      <c r="D76" s="258">
        <f>290654</f>
        <v>290654</v>
      </c>
    </row>
    <row r="78" spans="1:10" x14ac:dyDescent="0.25">
      <c r="A78" s="262" t="s">
        <v>2643</v>
      </c>
    </row>
    <row r="79" spans="1:10" x14ac:dyDescent="0.25">
      <c r="A79" t="s">
        <v>2642</v>
      </c>
      <c r="D79" s="258">
        <v>18206</v>
      </c>
    </row>
    <row r="80" spans="1:10" x14ac:dyDescent="0.25">
      <c r="J80" s="241"/>
    </row>
    <row r="81" spans="1:17" x14ac:dyDescent="0.25">
      <c r="A81" s="262" t="s">
        <v>2639</v>
      </c>
      <c r="J81" s="241"/>
    </row>
    <row r="82" spans="1:17" x14ac:dyDescent="0.25">
      <c r="A82" t="s">
        <v>2638</v>
      </c>
      <c r="D82" s="258">
        <v>20761</v>
      </c>
    </row>
    <row r="83" spans="1:17" x14ac:dyDescent="0.25">
      <c r="J83" s="241"/>
    </row>
    <row r="88" spans="1:17" x14ac:dyDescent="0.25">
      <c r="F88" t="s">
        <v>4056</v>
      </c>
    </row>
    <row r="92" spans="1:17" x14ac:dyDescent="0.25">
      <c r="A92" s="262" t="s">
        <v>2736</v>
      </c>
    </row>
    <row r="93" spans="1:17" x14ac:dyDescent="0.25">
      <c r="A93" t="s">
        <v>2735</v>
      </c>
      <c r="O93" s="257"/>
    </row>
    <row r="94" spans="1:17" x14ac:dyDescent="0.25">
      <c r="O94" s="257"/>
    </row>
    <row r="95" spans="1:17" x14ac:dyDescent="0.25">
      <c r="C95" s="255" t="s">
        <v>4038</v>
      </c>
      <c r="D95" s="255" t="s">
        <v>4039</v>
      </c>
      <c r="E95" s="255" t="s">
        <v>4040</v>
      </c>
      <c r="F95" s="255" t="s">
        <v>4041</v>
      </c>
      <c r="G95" s="255" t="s">
        <v>4042</v>
      </c>
      <c r="H95" s="255" t="s">
        <v>4043</v>
      </c>
      <c r="I95" s="255" t="s">
        <v>4044</v>
      </c>
      <c r="J95" s="255" t="s">
        <v>4045</v>
      </c>
      <c r="K95" s="255" t="s">
        <v>4046</v>
      </c>
      <c r="L95" s="255" t="s">
        <v>4047</v>
      </c>
      <c r="M95" s="255" t="s">
        <v>4048</v>
      </c>
      <c r="N95" s="255" t="s">
        <v>4049</v>
      </c>
      <c r="O95" s="255" t="s">
        <v>4050</v>
      </c>
      <c r="P95" s="255" t="s">
        <v>3518</v>
      </c>
    </row>
    <row r="96" spans="1:17" x14ac:dyDescent="0.25">
      <c r="C96" s="255">
        <v>2020</v>
      </c>
      <c r="D96" s="241">
        <v>23279.99</v>
      </c>
      <c r="E96" s="241">
        <v>27926.51</v>
      </c>
      <c r="F96" s="241">
        <v>20780.2</v>
      </c>
      <c r="G96" s="241">
        <v>18629.900000000001</v>
      </c>
      <c r="H96" s="241">
        <v>18338.36</v>
      </c>
      <c r="I96" s="241">
        <v>18169.63</v>
      </c>
      <c r="J96" s="241">
        <v>23252.53</v>
      </c>
      <c r="K96" s="241">
        <v>25293.05</v>
      </c>
      <c r="L96" s="241">
        <v>25673.84</v>
      </c>
      <c r="M96" s="241">
        <v>24851.89</v>
      </c>
      <c r="N96" s="241">
        <v>27363.42</v>
      </c>
      <c r="O96" s="241">
        <v>25157.83</v>
      </c>
      <c r="P96" s="241">
        <f>SUM(D96:O96)</f>
        <v>278717.14999999997</v>
      </c>
      <c r="Q96" s="241">
        <v>250000</v>
      </c>
    </row>
    <row r="97" spans="1:17" x14ac:dyDescent="0.25">
      <c r="C97" s="255">
        <v>2021</v>
      </c>
      <c r="D97" s="241">
        <v>24101.279999999999</v>
      </c>
      <c r="E97" s="241">
        <v>30172.9</v>
      </c>
      <c r="F97" s="241">
        <v>23024.81</v>
      </c>
      <c r="G97" s="241">
        <v>22981.54</v>
      </c>
      <c r="H97" s="241">
        <v>28713.83</v>
      </c>
      <c r="I97" s="241">
        <v>27966.49</v>
      </c>
      <c r="J97" s="241">
        <v>28043.8</v>
      </c>
      <c r="K97" s="241">
        <v>30907.06</v>
      </c>
      <c r="L97" s="241">
        <v>29578.799999999999</v>
      </c>
      <c r="M97" s="241">
        <v>29472.76</v>
      </c>
      <c r="N97" s="241">
        <v>31064.21</v>
      </c>
      <c r="O97" s="241">
        <v>29801.32</v>
      </c>
      <c r="P97" s="241">
        <f>SUM(D97:O97)</f>
        <v>335828.8</v>
      </c>
      <c r="Q97" s="241">
        <v>220000</v>
      </c>
    </row>
    <row r="98" spans="1:17" x14ac:dyDescent="0.25">
      <c r="C98" s="255">
        <v>2022</v>
      </c>
      <c r="D98" s="241">
        <v>28930.82</v>
      </c>
      <c r="E98" s="241">
        <v>34023.519999999997</v>
      </c>
      <c r="F98" s="241">
        <v>27000.639999999999</v>
      </c>
      <c r="G98" s="241">
        <v>28683.98</v>
      </c>
      <c r="H98" s="241">
        <v>34135.410000000003</v>
      </c>
      <c r="I98" s="241">
        <v>32953.83</v>
      </c>
      <c r="J98" s="241">
        <v>33081.53</v>
      </c>
      <c r="K98" s="241">
        <v>36099.58</v>
      </c>
      <c r="L98" s="241">
        <v>35418.230000000003</v>
      </c>
      <c r="M98" s="241">
        <v>35854.730000000003</v>
      </c>
      <c r="N98" s="241">
        <v>38322.67</v>
      </c>
      <c r="O98" s="259">
        <f>O97*1.15</f>
        <v>34271.517999999996</v>
      </c>
      <c r="P98" s="241">
        <f>SUM(D98:O98)</f>
        <v>398776.45799999993</v>
      </c>
      <c r="Q98" s="241">
        <v>150000</v>
      </c>
    </row>
    <row r="100" spans="1:17" x14ac:dyDescent="0.25">
      <c r="C100" s="264" t="s">
        <v>4053</v>
      </c>
      <c r="D100" s="256">
        <f t="shared" ref="D100:O100" si="6">(D97-D96)/D96</f>
        <v>3.527879522285006E-2</v>
      </c>
      <c r="E100" s="256">
        <f t="shared" si="6"/>
        <v>8.0439338821786291E-2</v>
      </c>
      <c r="F100" s="256">
        <f t="shared" si="6"/>
        <v>0.10801676595990416</v>
      </c>
      <c r="G100" s="256">
        <f t="shared" si="6"/>
        <v>0.23358364779199026</v>
      </c>
      <c r="H100" s="256">
        <f t="shared" si="6"/>
        <v>0.56577960079309164</v>
      </c>
      <c r="I100" s="256">
        <f t="shared" si="6"/>
        <v>0.53918874517532833</v>
      </c>
      <c r="J100" s="256">
        <f t="shared" si="6"/>
        <v>0.20605370684394347</v>
      </c>
      <c r="K100" s="256">
        <f t="shared" si="6"/>
        <v>0.22195860127584463</v>
      </c>
      <c r="L100" s="256">
        <f t="shared" si="6"/>
        <v>0.15209879005244245</v>
      </c>
      <c r="M100" s="256">
        <f t="shared" si="6"/>
        <v>0.18593636137935582</v>
      </c>
      <c r="N100" s="256">
        <f t="shared" si="6"/>
        <v>0.13524588666182813</v>
      </c>
      <c r="O100" s="256">
        <f t="shared" si="6"/>
        <v>0.18457434524360797</v>
      </c>
      <c r="P100" s="256">
        <f>(P97-P96)/P96</f>
        <v>0.20490899106854396</v>
      </c>
    </row>
    <row r="101" spans="1:17" ht="15.75" thickBot="1" x14ac:dyDescent="0.3">
      <c r="C101" s="264" t="s">
        <v>4054</v>
      </c>
      <c r="D101" s="256">
        <f t="shared" ref="D101:O101" si="7">(D98-D97)/D97</f>
        <v>0.20038520775660051</v>
      </c>
      <c r="E101" s="256">
        <f t="shared" si="7"/>
        <v>0.12761849209058443</v>
      </c>
      <c r="F101" s="256">
        <f t="shared" si="7"/>
        <v>0.17267590916059666</v>
      </c>
      <c r="G101" s="256">
        <f t="shared" si="7"/>
        <v>0.24813132627317397</v>
      </c>
      <c r="H101" s="256">
        <f t="shared" si="7"/>
        <v>0.18881424038520817</v>
      </c>
      <c r="I101" s="256">
        <f t="shared" si="7"/>
        <v>0.17833271175610524</v>
      </c>
      <c r="J101" s="256">
        <f t="shared" si="7"/>
        <v>0.17963792353390054</v>
      </c>
      <c r="K101" s="256">
        <f t="shared" si="7"/>
        <v>0.16800433299058534</v>
      </c>
      <c r="L101" s="256">
        <f t="shared" si="7"/>
        <v>0.19741943554167188</v>
      </c>
      <c r="M101" s="256">
        <f t="shared" si="7"/>
        <v>0.21653791501033515</v>
      </c>
      <c r="N101" s="256">
        <f t="shared" si="7"/>
        <v>0.23365989349157759</v>
      </c>
      <c r="O101" s="265">
        <f t="shared" si="7"/>
        <v>0.14999999999999988</v>
      </c>
      <c r="P101" s="261">
        <f>AVERAGE(D101:O101)</f>
        <v>0.18843478233252828</v>
      </c>
    </row>
    <row r="102" spans="1:17" ht="15.75" thickBot="1" x14ac:dyDescent="0.3">
      <c r="N102" s="256">
        <v>0.75</v>
      </c>
      <c r="O102" s="266">
        <f>(Q98*N102)+Q98</f>
        <v>262500</v>
      </c>
    </row>
    <row r="104" spans="1:17" x14ac:dyDescent="0.25">
      <c r="A104" s="262" t="s">
        <v>2742</v>
      </c>
    </row>
    <row r="105" spans="1:17" x14ac:dyDescent="0.25">
      <c r="A105" t="s">
        <v>2741</v>
      </c>
    </row>
    <row r="107" spans="1:17" x14ac:dyDescent="0.25">
      <c r="C107" s="255" t="s">
        <v>4038</v>
      </c>
      <c r="D107" s="255" t="s">
        <v>4039</v>
      </c>
      <c r="E107" s="255" t="s">
        <v>4040</v>
      </c>
      <c r="F107" s="255" t="s">
        <v>4041</v>
      </c>
      <c r="G107" s="255" t="s">
        <v>4042</v>
      </c>
      <c r="H107" s="255" t="s">
        <v>4043</v>
      </c>
      <c r="I107" s="255" t="s">
        <v>4044</v>
      </c>
      <c r="J107" s="255" t="s">
        <v>4045</v>
      </c>
      <c r="K107" s="255" t="s">
        <v>4046</v>
      </c>
      <c r="L107" s="255" t="s">
        <v>4047</v>
      </c>
      <c r="M107" s="255" t="s">
        <v>4048</v>
      </c>
      <c r="N107" s="255" t="s">
        <v>4049</v>
      </c>
      <c r="O107" s="255" t="s">
        <v>4050</v>
      </c>
      <c r="P107" s="255" t="s">
        <v>3518</v>
      </c>
    </row>
    <row r="108" spans="1:17" x14ac:dyDescent="0.25">
      <c r="C108" s="255">
        <v>2020</v>
      </c>
      <c r="D108" s="241">
        <v>48671.99</v>
      </c>
      <c r="E108" s="241">
        <v>51240.02</v>
      </c>
      <c r="F108" s="241">
        <v>43499.32</v>
      </c>
      <c r="G108" s="241">
        <v>39368.339999999997</v>
      </c>
      <c r="H108" s="241">
        <v>45949.41</v>
      </c>
      <c r="I108" s="241">
        <v>49036.28</v>
      </c>
      <c r="J108" s="241">
        <v>57852.08</v>
      </c>
      <c r="K108" s="241">
        <v>59912.97</v>
      </c>
      <c r="L108" s="241">
        <v>59663.14</v>
      </c>
      <c r="M108" s="241">
        <v>56138.78</v>
      </c>
      <c r="N108" s="241">
        <v>68614.19</v>
      </c>
      <c r="O108" s="241">
        <v>60190.63</v>
      </c>
      <c r="P108" s="241">
        <f t="shared" ref="P108:P109" si="8">SUM(D108:O108)</f>
        <v>640137.15</v>
      </c>
      <c r="Q108" s="241">
        <v>430000</v>
      </c>
    </row>
    <row r="109" spans="1:17" x14ac:dyDescent="0.25">
      <c r="C109" s="255">
        <v>2021</v>
      </c>
      <c r="D109" s="241">
        <v>60320.52</v>
      </c>
      <c r="E109" s="241">
        <v>64712.31</v>
      </c>
      <c r="F109" s="241">
        <v>52979.58</v>
      </c>
      <c r="G109" s="241">
        <v>48198.38</v>
      </c>
      <c r="H109" s="241">
        <v>66693.210000000006</v>
      </c>
      <c r="I109" s="241">
        <v>61310.39</v>
      </c>
      <c r="J109" s="241">
        <v>67866.5</v>
      </c>
      <c r="K109" s="241">
        <v>76822.36</v>
      </c>
      <c r="L109" s="241">
        <v>72372.17</v>
      </c>
      <c r="M109" s="241">
        <v>62679.78</v>
      </c>
      <c r="N109" s="241">
        <v>79026.399999999994</v>
      </c>
      <c r="O109" s="241">
        <v>84431.44</v>
      </c>
      <c r="P109" s="241">
        <f t="shared" si="8"/>
        <v>797413.04</v>
      </c>
      <c r="Q109" s="241">
        <v>552941.18000000005</v>
      </c>
    </row>
    <row r="110" spans="1:17" x14ac:dyDescent="0.25">
      <c r="C110" s="255">
        <v>2022</v>
      </c>
      <c r="D110" s="241">
        <v>63040.95</v>
      </c>
      <c r="E110" s="241">
        <v>80511.649999999994</v>
      </c>
      <c r="F110" s="241">
        <v>60955.26</v>
      </c>
      <c r="G110" s="241">
        <v>75936.649999999994</v>
      </c>
      <c r="H110" s="241">
        <v>84907.3</v>
      </c>
      <c r="I110" s="241">
        <v>88629.07</v>
      </c>
      <c r="J110" s="241">
        <v>76211.179999999993</v>
      </c>
      <c r="K110" s="241">
        <v>95857.54</v>
      </c>
      <c r="L110" s="241">
        <v>82276.53</v>
      </c>
      <c r="M110" s="241">
        <v>77431.929999999993</v>
      </c>
      <c r="N110" s="241">
        <v>92717.81</v>
      </c>
      <c r="O110" s="259">
        <f>O109*1.15</f>
        <v>97096.155999999988</v>
      </c>
      <c r="P110" s="241">
        <f>SUM(D110:O110)</f>
        <v>975572.02600000007</v>
      </c>
      <c r="Q110" s="241">
        <v>658823.53</v>
      </c>
    </row>
    <row r="112" spans="1:17" x14ac:dyDescent="0.25">
      <c r="C112" s="264" t="s">
        <v>4053</v>
      </c>
      <c r="D112" s="256">
        <f t="shared" ref="D112:O112" si="9">(D109-D108)/D108</f>
        <v>0.23932717770528797</v>
      </c>
      <c r="E112" s="256">
        <f t="shared" si="9"/>
        <v>0.26292515108307923</v>
      </c>
      <c r="F112" s="256">
        <f t="shared" si="9"/>
        <v>0.21794041837895403</v>
      </c>
      <c r="G112" s="256">
        <f t="shared" si="9"/>
        <v>0.22429292167259279</v>
      </c>
      <c r="H112" s="256">
        <f t="shared" si="9"/>
        <v>0.45144866930826755</v>
      </c>
      <c r="I112" s="256">
        <f t="shared" si="9"/>
        <v>0.25030671168367585</v>
      </c>
      <c r="J112" s="256">
        <f t="shared" si="9"/>
        <v>0.17310388839951818</v>
      </c>
      <c r="K112" s="256">
        <f t="shared" si="9"/>
        <v>0.2822325449731502</v>
      </c>
      <c r="L112" s="256">
        <f t="shared" si="9"/>
        <v>0.2130130931761218</v>
      </c>
      <c r="M112" s="256">
        <f t="shared" si="9"/>
        <v>0.11651482273038352</v>
      </c>
      <c r="N112" s="256">
        <f t="shared" si="9"/>
        <v>0.15175009717377691</v>
      </c>
      <c r="O112" s="256">
        <f t="shared" si="9"/>
        <v>0.40273394712765104</v>
      </c>
      <c r="P112" s="256">
        <f>(P109-P108)/P108</f>
        <v>0.24569092732705797</v>
      </c>
    </row>
    <row r="113" spans="3:16" ht="15.75" thickBot="1" x14ac:dyDescent="0.3">
      <c r="C113" s="264" t="s">
        <v>4054</v>
      </c>
      <c r="D113" s="256">
        <f t="shared" ref="D113:O113" si="10">(D110-D109)/D109</f>
        <v>4.5099578054035354E-2</v>
      </c>
      <c r="E113" s="256">
        <f t="shared" si="10"/>
        <v>0.24414736547034091</v>
      </c>
      <c r="F113" s="256">
        <f t="shared" si="10"/>
        <v>0.15054252978222932</v>
      </c>
      <c r="G113" s="256">
        <f t="shared" si="10"/>
        <v>0.5755021226854512</v>
      </c>
      <c r="H113" s="256">
        <f t="shared" si="10"/>
        <v>0.27310261419415854</v>
      </c>
      <c r="I113" s="256">
        <f t="shared" si="10"/>
        <v>0.4455799416705718</v>
      </c>
      <c r="J113" s="256">
        <f t="shared" si="10"/>
        <v>0.12295727641767283</v>
      </c>
      <c r="K113" s="256">
        <f t="shared" si="10"/>
        <v>0.24778176562136328</v>
      </c>
      <c r="L113" s="256">
        <f t="shared" si="10"/>
        <v>0.13685315778150636</v>
      </c>
      <c r="M113" s="256">
        <f t="shared" si="10"/>
        <v>0.23535739914849724</v>
      </c>
      <c r="N113" s="256">
        <f t="shared" si="10"/>
        <v>0.1732510907747285</v>
      </c>
      <c r="O113" s="265">
        <f t="shared" si="10"/>
        <v>0.14999999999999983</v>
      </c>
      <c r="P113" s="261">
        <f>AVERAGE(D113:O113)</f>
        <v>0.23334790346671297</v>
      </c>
    </row>
    <row r="114" spans="3:16" ht="15.75" thickBot="1" x14ac:dyDescent="0.3">
      <c r="N114" s="256">
        <v>0.21</v>
      </c>
      <c r="O114" s="266">
        <f>(Q110*N114)+Q110</f>
        <v>797176.47130000009</v>
      </c>
    </row>
  </sheetData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2C74-096C-44A7-942B-C1A41BF4AA1B}">
  <sheetPr>
    <tabColor rgb="FF92D050"/>
    <pageSetUpPr fitToPage="1"/>
  </sheetPr>
  <dimension ref="A1:M27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3999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H7-F26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3029</v>
      </c>
      <c r="B7" s="291" t="s">
        <v>2</v>
      </c>
      <c r="C7" s="294">
        <v>1149587.3700000001</v>
      </c>
      <c r="D7" s="294">
        <v>1150468.8600000001</v>
      </c>
      <c r="E7" s="294">
        <v>1150468.8600000001</v>
      </c>
      <c r="F7" s="294">
        <v>1150468.8600000001</v>
      </c>
      <c r="G7" s="294">
        <v>1150468.8600000001</v>
      </c>
      <c r="H7" s="294">
        <f>F26</f>
        <v>1153360.1800000002</v>
      </c>
      <c r="I7" s="291"/>
    </row>
    <row r="8" spans="1:13" x14ac:dyDescent="0.25">
      <c r="A8" s="23" t="s">
        <v>1691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3030</v>
      </c>
      <c r="B12" s="30" t="s">
        <v>2409</v>
      </c>
      <c r="C12" s="31">
        <v>881.49</v>
      </c>
      <c r="D12" s="31">
        <v>736.37</v>
      </c>
      <c r="E12" s="31">
        <v>2168.4899999999998</v>
      </c>
      <c r="F12" s="31">
        <f>E12/9*12</f>
        <v>2891.3199999999997</v>
      </c>
      <c r="G12" s="31">
        <v>0</v>
      </c>
      <c r="H12" s="31">
        <v>0</v>
      </c>
      <c r="I12" s="29"/>
    </row>
    <row r="13" spans="1:13" x14ac:dyDescent="0.25">
      <c r="A13" s="30" t="s">
        <v>3031</v>
      </c>
      <c r="B13" s="30" t="s">
        <v>2703</v>
      </c>
      <c r="C13" s="31">
        <v>0</v>
      </c>
      <c r="D13" s="31">
        <v>0</v>
      </c>
      <c r="E13" s="31">
        <v>0</v>
      </c>
      <c r="F13" s="31">
        <f>E13/9*12</f>
        <v>0</v>
      </c>
      <c r="G13" s="31">
        <v>0</v>
      </c>
      <c r="H13" s="31">
        <v>0</v>
      </c>
      <c r="I13" s="29"/>
    </row>
    <row r="14" spans="1:13" ht="24" x14ac:dyDescent="0.25">
      <c r="A14" s="23" t="s">
        <v>2179</v>
      </c>
      <c r="B14" s="23" t="s">
        <v>2</v>
      </c>
      <c r="C14" s="32">
        <v>881.49</v>
      </c>
      <c r="D14" s="32">
        <v>736.37</v>
      </c>
      <c r="E14" s="32">
        <f>SUM(E12:E13)</f>
        <v>2168.4899999999998</v>
      </c>
      <c r="F14" s="32">
        <f>SUM(F12:F13)</f>
        <v>2891.3199999999997</v>
      </c>
      <c r="G14" s="32">
        <f>SUM(G12:G13)</f>
        <v>0</v>
      </c>
      <c r="H14" s="32">
        <f>SUM(H12:H13)</f>
        <v>0</v>
      </c>
      <c r="I14" s="29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29"/>
    </row>
    <row r="16" spans="1:13" x14ac:dyDescent="0.25">
      <c r="A16" s="23" t="s">
        <v>2047</v>
      </c>
      <c r="B16" s="23" t="s">
        <v>2</v>
      </c>
      <c r="C16" s="32">
        <v>881.49</v>
      </c>
      <c r="D16" s="32">
        <v>736.37</v>
      </c>
      <c r="E16" s="32">
        <f>E14</f>
        <v>2168.4899999999998</v>
      </c>
      <c r="F16" s="32">
        <f>F14</f>
        <v>2891.3199999999997</v>
      </c>
      <c r="G16" s="32">
        <f>G14</f>
        <v>0</v>
      </c>
      <c r="H16" s="32">
        <f>H14</f>
        <v>0</v>
      </c>
      <c r="I16" s="29"/>
    </row>
    <row r="17" spans="1:9" x14ac:dyDescent="0.25">
      <c r="A17" s="1" t="s">
        <v>740</v>
      </c>
      <c r="B17" s="1"/>
      <c r="C17" s="4"/>
      <c r="D17" s="4"/>
      <c r="E17" s="4"/>
      <c r="F17" s="4"/>
      <c r="G17" s="6"/>
      <c r="H17" s="6"/>
      <c r="I17" s="6"/>
    </row>
    <row r="18" spans="1:9" ht="15" customHeight="1" x14ac:dyDescent="0.25">
      <c r="A18" s="1" t="s">
        <v>1691</v>
      </c>
      <c r="B18" s="1" t="s">
        <v>2</v>
      </c>
      <c r="C18" s="40"/>
      <c r="G18" s="40"/>
    </row>
    <row r="19" spans="1:9" ht="15" customHeight="1" x14ac:dyDescent="0.25">
      <c r="A19" s="1" t="s">
        <v>706</v>
      </c>
      <c r="B19" s="1" t="s">
        <v>2</v>
      </c>
    </row>
    <row r="20" spans="1:9" ht="15" customHeight="1" x14ac:dyDescent="0.25">
      <c r="A20" s="109" t="s">
        <v>1692</v>
      </c>
      <c r="B20" s="109" t="s">
        <v>1693</v>
      </c>
      <c r="C20" s="110">
        <v>0</v>
      </c>
      <c r="D20" s="110">
        <v>0</v>
      </c>
      <c r="E20" s="110">
        <v>0</v>
      </c>
      <c r="F20" s="110">
        <v>0</v>
      </c>
      <c r="G20" s="110">
        <v>0</v>
      </c>
      <c r="H20" s="110">
        <f>Transfers!$C$59</f>
        <v>0</v>
      </c>
      <c r="I20" s="108"/>
    </row>
    <row r="21" spans="1:9" ht="15" customHeight="1" x14ac:dyDescent="0.25">
      <c r="A21" s="109" t="s">
        <v>1694</v>
      </c>
      <c r="B21" s="109" t="s">
        <v>1695</v>
      </c>
      <c r="C21" s="110">
        <v>0</v>
      </c>
      <c r="D21" s="110">
        <v>0</v>
      </c>
      <c r="E21" s="110">
        <v>0</v>
      </c>
      <c r="F21" s="110">
        <v>0</v>
      </c>
      <c r="G21" s="110">
        <v>0</v>
      </c>
      <c r="H21" s="110">
        <f>Transfers!$C$60</f>
        <v>0</v>
      </c>
      <c r="I21" s="108"/>
    </row>
    <row r="22" spans="1:9" ht="15" customHeight="1" x14ac:dyDescent="0.25">
      <c r="A22" s="109" t="s">
        <v>1696</v>
      </c>
      <c r="B22" s="109" t="s">
        <v>1697</v>
      </c>
      <c r="C22" s="110">
        <v>0</v>
      </c>
      <c r="D22" s="110">
        <v>0</v>
      </c>
      <c r="E22" s="110">
        <v>0</v>
      </c>
      <c r="F22" s="110">
        <v>0</v>
      </c>
      <c r="G22" s="110">
        <v>0</v>
      </c>
      <c r="H22" s="110">
        <f>Transfers!$C$66</f>
        <v>0</v>
      </c>
      <c r="I22" s="108"/>
    </row>
    <row r="23" spans="1:9" ht="15" customHeight="1" x14ac:dyDescent="0.25">
      <c r="A23" s="1" t="s">
        <v>737</v>
      </c>
      <c r="B23" s="1" t="s">
        <v>2</v>
      </c>
      <c r="C23" s="4">
        <v>0</v>
      </c>
      <c r="D23" s="4">
        <v>0</v>
      </c>
      <c r="E23" s="4">
        <f>SUM(E20:E22)</f>
        <v>0</v>
      </c>
      <c r="F23" s="4">
        <f>SUM(F20:F22)</f>
        <v>0</v>
      </c>
      <c r="G23" s="6">
        <f>SUM(G20:G22)</f>
        <v>0</v>
      </c>
      <c r="H23" s="6">
        <f>SUM(H20:H22)</f>
        <v>0</v>
      </c>
    </row>
    <row r="24" spans="1:9" x14ac:dyDescent="0.25">
      <c r="A24" s="1" t="s">
        <v>2</v>
      </c>
      <c r="B24" s="1" t="s">
        <v>2</v>
      </c>
      <c r="C24" s="1" t="s">
        <v>2</v>
      </c>
      <c r="D24" s="1" t="s">
        <v>2</v>
      </c>
      <c r="E24" s="1"/>
      <c r="F24" s="1"/>
      <c r="G24" s="1" t="s">
        <v>2</v>
      </c>
      <c r="H24" s="1" t="s">
        <v>2</v>
      </c>
    </row>
    <row r="25" spans="1:9" ht="15" customHeight="1" x14ac:dyDescent="0.25">
      <c r="A25" s="1" t="s">
        <v>1698</v>
      </c>
      <c r="B25" s="1" t="s">
        <v>2</v>
      </c>
      <c r="C25" s="4">
        <v>0</v>
      </c>
      <c r="D25" s="4">
        <v>0</v>
      </c>
      <c r="E25" s="4">
        <f>E23</f>
        <v>0</v>
      </c>
      <c r="F25" s="4">
        <f>F23</f>
        <v>0</v>
      </c>
      <c r="G25" s="6">
        <f>G23</f>
        <v>0</v>
      </c>
      <c r="H25" s="6">
        <f>H23</f>
        <v>0</v>
      </c>
    </row>
    <row r="26" spans="1:9" ht="15" customHeight="1" x14ac:dyDescent="0.25">
      <c r="A26" s="291" t="s">
        <v>3032</v>
      </c>
      <c r="B26" s="291"/>
      <c r="C26" s="294">
        <f>C7+C16-C25</f>
        <v>1150468.8600000001</v>
      </c>
      <c r="D26" s="294">
        <f t="shared" ref="D26:H26" si="0">D7+D16-D25</f>
        <v>1151205.2300000002</v>
      </c>
      <c r="E26" s="294">
        <f t="shared" si="0"/>
        <v>1152637.3500000001</v>
      </c>
      <c r="F26" s="294">
        <f t="shared" si="0"/>
        <v>1153360.1800000002</v>
      </c>
      <c r="G26" s="294">
        <f t="shared" si="0"/>
        <v>1150468.8600000001</v>
      </c>
      <c r="H26" s="294">
        <f t="shared" si="0"/>
        <v>1153360.1800000002</v>
      </c>
      <c r="I26" s="291"/>
    </row>
    <row r="27" spans="1:9" x14ac:dyDescent="0.25">
      <c r="A27" s="2" t="s">
        <v>2</v>
      </c>
      <c r="B27" s="2" t="s">
        <v>2</v>
      </c>
      <c r="C27" s="2" t="s">
        <v>2</v>
      </c>
      <c r="D27" s="2" t="s">
        <v>2</v>
      </c>
      <c r="E27" s="2"/>
      <c r="F27" s="2"/>
      <c r="G27" s="2" t="s">
        <v>2</v>
      </c>
      <c r="H27" s="2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E9F26-76B6-45C6-ABF0-597816510434}">
  <sheetPr>
    <tabColor rgb="FF92D050"/>
    <pageSetUpPr fitToPage="1"/>
  </sheetPr>
  <dimension ref="A1:M29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3998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H7-F28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3033</v>
      </c>
      <c r="B7" s="291"/>
      <c r="C7" s="294">
        <v>885916.34</v>
      </c>
      <c r="D7" s="294">
        <v>1887732.47</v>
      </c>
      <c r="E7" s="294">
        <v>1887732.47</v>
      </c>
      <c r="F7" s="294">
        <v>1887732.47</v>
      </c>
      <c r="G7" s="294">
        <v>1887732.47</v>
      </c>
      <c r="H7" s="294">
        <f>F28</f>
        <v>4893185.6833333336</v>
      </c>
      <c r="I7" s="291"/>
    </row>
    <row r="8" spans="1:13" x14ac:dyDescent="0.25">
      <c r="A8" s="23" t="s">
        <v>3034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3035</v>
      </c>
      <c r="B10" s="30" t="s">
        <v>2409</v>
      </c>
      <c r="C10" s="31">
        <v>1816.13</v>
      </c>
      <c r="D10" s="31">
        <v>1388.83</v>
      </c>
      <c r="E10" s="31">
        <v>4089.91</v>
      </c>
      <c r="F10" s="31">
        <f>E10/9*12</f>
        <v>5453.2133333333331</v>
      </c>
      <c r="G10" s="31">
        <v>0</v>
      </c>
      <c r="H10" s="31">
        <v>0</v>
      </c>
      <c r="I10" s="29"/>
    </row>
    <row r="11" spans="1:13" x14ac:dyDescent="0.25">
      <c r="A11" s="23" t="s">
        <v>2</v>
      </c>
      <c r="B11" s="23" t="s">
        <v>2</v>
      </c>
      <c r="C11" s="23" t="s">
        <v>2</v>
      </c>
      <c r="D11" s="23" t="s">
        <v>2</v>
      </c>
      <c r="E11" s="23"/>
      <c r="F11" s="23"/>
      <c r="G11" s="23" t="s">
        <v>2</v>
      </c>
      <c r="H11" s="23" t="s">
        <v>2</v>
      </c>
      <c r="I11" s="29"/>
    </row>
    <row r="12" spans="1:13" x14ac:dyDescent="0.25">
      <c r="A12" s="23" t="s">
        <v>2553</v>
      </c>
      <c r="B12" s="23" t="s">
        <v>2</v>
      </c>
      <c r="C12" s="29"/>
      <c r="D12" s="29"/>
      <c r="E12" s="29"/>
      <c r="F12" s="29"/>
      <c r="G12" s="29"/>
      <c r="H12" s="29"/>
      <c r="I12" s="29"/>
    </row>
    <row r="13" spans="1:13" x14ac:dyDescent="0.25">
      <c r="A13" s="109" t="s">
        <v>3036</v>
      </c>
      <c r="B13" s="109" t="s">
        <v>3037</v>
      </c>
      <c r="C13" s="110">
        <v>1000000</v>
      </c>
      <c r="D13" s="110">
        <v>0</v>
      </c>
      <c r="E13" s="110">
        <v>0</v>
      </c>
      <c r="F13" s="110">
        <f>G13</f>
        <v>3000000</v>
      </c>
      <c r="G13" s="110">
        <v>3000000</v>
      </c>
      <c r="H13" s="110">
        <f>Transfers!$C$65</f>
        <v>1000000</v>
      </c>
      <c r="I13" s="108"/>
    </row>
    <row r="14" spans="1:13" ht="24" x14ac:dyDescent="0.25">
      <c r="A14" s="23" t="s">
        <v>2556</v>
      </c>
      <c r="B14" s="23" t="s">
        <v>2</v>
      </c>
      <c r="C14" s="32">
        <v>1000000</v>
      </c>
      <c r="D14" s="32">
        <v>0</v>
      </c>
      <c r="E14" s="32">
        <f>E13</f>
        <v>0</v>
      </c>
      <c r="F14" s="32">
        <f>F13</f>
        <v>3000000</v>
      </c>
      <c r="G14" s="32">
        <f>SUM(G13)</f>
        <v>3000000</v>
      </c>
      <c r="H14" s="32">
        <f>SUM(H13)</f>
        <v>1000000</v>
      </c>
      <c r="I14" s="29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29"/>
    </row>
    <row r="16" spans="1:13" x14ac:dyDescent="0.25">
      <c r="A16" s="23" t="s">
        <v>3038</v>
      </c>
      <c r="B16" s="23" t="s">
        <v>2</v>
      </c>
      <c r="C16" s="32">
        <v>1001816.13</v>
      </c>
      <c r="D16" s="32">
        <v>1388.83</v>
      </c>
      <c r="E16" s="32">
        <f>E10+E14</f>
        <v>4089.91</v>
      </c>
      <c r="F16" s="32">
        <f>F10+F14</f>
        <v>3005453.2133333334</v>
      </c>
      <c r="G16" s="32">
        <f>G14+G10</f>
        <v>3000000</v>
      </c>
      <c r="H16" s="32">
        <f>H14+H10</f>
        <v>1000000</v>
      </c>
      <c r="I16" s="29"/>
    </row>
    <row r="17" spans="1:9" ht="15" customHeight="1" x14ac:dyDescent="0.25">
      <c r="A17" s="1" t="s">
        <v>740</v>
      </c>
      <c r="B17" s="34"/>
      <c r="C17" s="35"/>
      <c r="D17" s="35"/>
      <c r="E17" s="35"/>
      <c r="F17" s="35"/>
      <c r="G17" s="35"/>
      <c r="H17" s="35"/>
      <c r="I17" s="34"/>
    </row>
    <row r="18" spans="1:9" ht="15" customHeight="1" x14ac:dyDescent="0.25">
      <c r="A18" s="1" t="s">
        <v>556</v>
      </c>
      <c r="B18" s="34"/>
      <c r="C18" s="35"/>
      <c r="D18" s="35"/>
      <c r="E18" s="35"/>
      <c r="F18" s="35"/>
      <c r="G18" s="35"/>
      <c r="H18" s="35"/>
      <c r="I18" s="34"/>
    </row>
    <row r="19" spans="1:9" ht="15" customHeight="1" x14ac:dyDescent="0.25">
      <c r="A19" s="1" t="s">
        <v>1645</v>
      </c>
      <c r="B19" s="34"/>
      <c r="C19" s="35"/>
      <c r="D19" s="35"/>
      <c r="E19" s="35"/>
      <c r="F19" s="35"/>
      <c r="G19" s="35"/>
      <c r="H19" s="35"/>
      <c r="I19" s="34"/>
    </row>
    <row r="20" spans="1:9" ht="15" customHeight="1" x14ac:dyDescent="0.25">
      <c r="A20" s="69" t="s">
        <v>3556</v>
      </c>
      <c r="B20" s="69" t="s">
        <v>3457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1455556.16</v>
      </c>
      <c r="I20" s="34"/>
    </row>
    <row r="21" spans="1:9" ht="15" customHeight="1" x14ac:dyDescent="0.25">
      <c r="A21" s="1" t="s">
        <v>1660</v>
      </c>
      <c r="B21" s="34"/>
      <c r="C21" s="35">
        <f>C20</f>
        <v>0</v>
      </c>
      <c r="D21" s="35">
        <f t="shared" ref="D21:H21" si="0">D20</f>
        <v>0</v>
      </c>
      <c r="E21" s="35">
        <f t="shared" si="0"/>
        <v>0</v>
      </c>
      <c r="F21" s="35">
        <f t="shared" si="0"/>
        <v>0</v>
      </c>
      <c r="G21" s="35">
        <f t="shared" si="0"/>
        <v>0</v>
      </c>
      <c r="H21" s="35">
        <f t="shared" si="0"/>
        <v>1455556.16</v>
      </c>
      <c r="I21" s="34"/>
    </row>
    <row r="22" spans="1:9" ht="15" customHeight="1" x14ac:dyDescent="0.25">
      <c r="A22" s="1"/>
      <c r="B22" s="34"/>
      <c r="C22" s="35"/>
      <c r="D22" s="35"/>
      <c r="E22" s="35"/>
      <c r="F22" s="35"/>
      <c r="G22" s="35"/>
      <c r="H22" s="35"/>
      <c r="I22" s="34"/>
    </row>
    <row r="23" spans="1:9" ht="15" customHeight="1" x14ac:dyDescent="0.25">
      <c r="A23" s="1" t="s">
        <v>1153</v>
      </c>
      <c r="B23" s="34"/>
      <c r="C23" s="35"/>
      <c r="D23" s="35"/>
      <c r="E23" s="35"/>
      <c r="F23" s="35"/>
      <c r="G23" s="35"/>
      <c r="H23" s="35"/>
      <c r="I23" s="34"/>
    </row>
    <row r="24" spans="1:9" ht="15" customHeight="1" x14ac:dyDescent="0.25">
      <c r="A24" s="69" t="s">
        <v>3556</v>
      </c>
      <c r="B24" s="69" t="s">
        <v>3458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661578.16</v>
      </c>
      <c r="I24" s="34"/>
    </row>
    <row r="25" spans="1:9" ht="15" customHeight="1" x14ac:dyDescent="0.25">
      <c r="A25" s="1" t="s">
        <v>3455</v>
      </c>
      <c r="B25" s="69"/>
      <c r="C25" s="35">
        <f>C24</f>
        <v>0</v>
      </c>
      <c r="D25" s="35">
        <f t="shared" ref="D25:H25" si="1">D24</f>
        <v>0</v>
      </c>
      <c r="E25" s="35">
        <f t="shared" si="1"/>
        <v>0</v>
      </c>
      <c r="F25" s="35">
        <f t="shared" si="1"/>
        <v>0</v>
      </c>
      <c r="G25" s="35">
        <f t="shared" si="1"/>
        <v>0</v>
      </c>
      <c r="H25" s="35">
        <f t="shared" si="1"/>
        <v>661578.16</v>
      </c>
      <c r="I25" s="34"/>
    </row>
    <row r="26" spans="1:9" ht="15" customHeight="1" x14ac:dyDescent="0.25">
      <c r="A26" s="1"/>
      <c r="B26" s="69"/>
      <c r="C26" s="35"/>
      <c r="D26" s="35"/>
      <c r="E26" s="35"/>
      <c r="F26" s="35"/>
      <c r="G26" s="35"/>
      <c r="H26" s="35"/>
      <c r="I26" s="34"/>
    </row>
    <row r="27" spans="1:9" ht="15" customHeight="1" x14ac:dyDescent="0.25">
      <c r="A27" s="1" t="s">
        <v>3456</v>
      </c>
      <c r="B27" s="69"/>
      <c r="C27" s="35">
        <f>+C25+C21</f>
        <v>0</v>
      </c>
      <c r="D27" s="35">
        <f>+D25+D21</f>
        <v>0</v>
      </c>
      <c r="E27" s="35">
        <f>+E25+E21</f>
        <v>0</v>
      </c>
      <c r="F27" s="35">
        <f>+F25+F21</f>
        <v>0</v>
      </c>
      <c r="G27" s="35">
        <f>+G25+G21</f>
        <v>0</v>
      </c>
      <c r="H27" s="35">
        <f>+H21+H25</f>
        <v>2117134.3199999998</v>
      </c>
      <c r="I27" s="34"/>
    </row>
    <row r="28" spans="1:9" ht="15" customHeight="1" x14ac:dyDescent="0.25">
      <c r="A28" s="291" t="s">
        <v>3039</v>
      </c>
      <c r="B28" s="291"/>
      <c r="C28" s="294">
        <f>C7+C16-C27</f>
        <v>1887732.47</v>
      </c>
      <c r="D28" s="294">
        <f t="shared" ref="D28:G28" si="2">D7+D16-D27</f>
        <v>1889121.3</v>
      </c>
      <c r="E28" s="294">
        <f t="shared" si="2"/>
        <v>1891822.38</v>
      </c>
      <c r="F28" s="294">
        <f t="shared" si="2"/>
        <v>4893185.6833333336</v>
      </c>
      <c r="G28" s="294">
        <f t="shared" si="2"/>
        <v>4887732.47</v>
      </c>
      <c r="H28" s="294">
        <f>H7+H16-H27</f>
        <v>3776051.3633333337</v>
      </c>
      <c r="I28" s="291"/>
    </row>
    <row r="29" spans="1:9" ht="15" customHeight="1" x14ac:dyDescent="0.25">
      <c r="A29" s="34"/>
      <c r="B29" s="34"/>
      <c r="C29" s="35"/>
      <c r="D29" s="35"/>
      <c r="E29" s="35"/>
      <c r="F29" s="35"/>
      <c r="G29" s="35"/>
      <c r="H29" s="35"/>
      <c r="I29" s="34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94A-8F73-4B3A-A215-DB692066DD02}">
  <sheetPr>
    <tabColor rgb="FF92D050"/>
    <pageSetUpPr fitToPage="1"/>
  </sheetPr>
  <dimension ref="A1:M188"/>
  <sheetViews>
    <sheetView showGridLines="0" zoomScaleNormal="100" workbookViewId="0">
      <pane ySplit="5" topLeftCell="A17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style="250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3997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H7-F187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3040</v>
      </c>
      <c r="B7" s="291"/>
      <c r="C7" s="294">
        <v>1690428.81</v>
      </c>
      <c r="D7" s="294">
        <v>1971194.38</v>
      </c>
      <c r="E7" s="294">
        <v>1971194.38</v>
      </c>
      <c r="F7" s="294">
        <v>1971194.38</v>
      </c>
      <c r="G7" s="294">
        <v>1971194.38</v>
      </c>
      <c r="H7" s="294">
        <f>F187</f>
        <v>3864472.6066666665</v>
      </c>
      <c r="I7" s="291"/>
    </row>
    <row r="8" spans="1:13" x14ac:dyDescent="0.25">
      <c r="A8" s="23" t="s">
        <v>1699</v>
      </c>
      <c r="B8" s="23" t="s">
        <v>2</v>
      </c>
      <c r="C8" s="29"/>
      <c r="D8" s="29"/>
      <c r="E8" s="29"/>
      <c r="F8" s="29"/>
      <c r="G8" s="29"/>
      <c r="H8" s="29"/>
      <c r="I8" s="251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51"/>
    </row>
    <row r="10" spans="1:13" x14ac:dyDescent="0.25">
      <c r="A10" s="23" t="s">
        <v>2102</v>
      </c>
      <c r="B10" s="23" t="s">
        <v>2</v>
      </c>
      <c r="C10" s="29"/>
      <c r="D10" s="29"/>
      <c r="E10" s="29"/>
      <c r="F10" s="29"/>
      <c r="G10" s="29"/>
      <c r="H10" s="29"/>
      <c r="I10" s="251"/>
    </row>
    <row r="11" spans="1:13" x14ac:dyDescent="0.25">
      <c r="A11" s="23" t="s">
        <v>2111</v>
      </c>
      <c r="B11" s="23" t="s">
        <v>2</v>
      </c>
      <c r="C11" s="29"/>
      <c r="D11" s="29"/>
      <c r="E11" s="29"/>
      <c r="F11" s="29"/>
      <c r="G11" s="29"/>
      <c r="H11" s="29"/>
      <c r="I11" s="251"/>
    </row>
    <row r="12" spans="1:13" x14ac:dyDescent="0.25">
      <c r="A12" s="30" t="s">
        <v>3041</v>
      </c>
      <c r="B12" s="30" t="s">
        <v>2608</v>
      </c>
      <c r="C12" s="31">
        <v>0</v>
      </c>
      <c r="D12" s="31">
        <v>0</v>
      </c>
      <c r="E12" s="31">
        <v>0</v>
      </c>
      <c r="F12" s="31">
        <f>E12/9*12</f>
        <v>0</v>
      </c>
      <c r="G12" s="31">
        <v>0</v>
      </c>
      <c r="H12" s="31">
        <v>0</v>
      </c>
      <c r="I12" s="251"/>
    </row>
    <row r="13" spans="1:13" x14ac:dyDescent="0.25">
      <c r="A13" s="30" t="s">
        <v>3042</v>
      </c>
      <c r="B13" s="30" t="s">
        <v>2123</v>
      </c>
      <c r="C13" s="31">
        <v>77.41</v>
      </c>
      <c r="D13" s="31">
        <v>0</v>
      </c>
      <c r="E13" s="31">
        <v>0</v>
      </c>
      <c r="F13" s="31">
        <f>E13/9*12</f>
        <v>0</v>
      </c>
      <c r="G13" s="31">
        <v>0</v>
      </c>
      <c r="H13" s="31">
        <v>0</v>
      </c>
      <c r="I13" s="251"/>
    </row>
    <row r="14" spans="1:13" x14ac:dyDescent="0.25">
      <c r="A14" s="23" t="s">
        <v>2126</v>
      </c>
      <c r="B14" s="23" t="s">
        <v>2</v>
      </c>
      <c r="C14" s="32">
        <v>77.41</v>
      </c>
      <c r="D14" s="32">
        <v>0</v>
      </c>
      <c r="E14" s="32">
        <f>E12+E13</f>
        <v>0</v>
      </c>
      <c r="F14" s="32">
        <f>F12+F13</f>
        <v>0</v>
      </c>
      <c r="G14" s="32">
        <f>SUM(G12:G13)</f>
        <v>0</v>
      </c>
      <c r="H14" s="32">
        <f>SUM(H12:H13)</f>
        <v>0</v>
      </c>
      <c r="I14" s="251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251"/>
    </row>
    <row r="16" spans="1:13" x14ac:dyDescent="0.25">
      <c r="A16" s="23" t="s">
        <v>2127</v>
      </c>
      <c r="B16" s="23" t="s">
        <v>2</v>
      </c>
      <c r="C16" s="29"/>
      <c r="D16" s="29"/>
      <c r="E16" s="29"/>
      <c r="F16" s="29"/>
      <c r="G16" s="29"/>
      <c r="H16" s="29"/>
      <c r="I16" s="251"/>
    </row>
    <row r="17" spans="1:9" x14ac:dyDescent="0.25">
      <c r="A17" s="30" t="s">
        <v>3043</v>
      </c>
      <c r="B17" s="30" t="s">
        <v>3044</v>
      </c>
      <c r="C17" s="31">
        <v>129721.74</v>
      </c>
      <c r="D17" s="31">
        <v>20537.810000000001</v>
      </c>
      <c r="E17" s="31">
        <v>1013625.56</v>
      </c>
      <c r="F17" s="31">
        <f t="shared" ref="F17:F19" si="0">E17/9*12</f>
        <v>1351500.7466666668</v>
      </c>
      <c r="G17" s="31">
        <v>0</v>
      </c>
      <c r="H17" s="31">
        <v>0</v>
      </c>
      <c r="I17" s="251"/>
    </row>
    <row r="18" spans="1:9" x14ac:dyDescent="0.25">
      <c r="A18" s="30" t="s">
        <v>3045</v>
      </c>
      <c r="B18" s="30" t="s">
        <v>3046</v>
      </c>
      <c r="C18" s="31">
        <v>0</v>
      </c>
      <c r="D18" s="31">
        <v>0</v>
      </c>
      <c r="E18" s="31">
        <v>0</v>
      </c>
      <c r="F18" s="31">
        <f t="shared" si="0"/>
        <v>0</v>
      </c>
      <c r="G18" s="31">
        <v>2421935</v>
      </c>
      <c r="H18" s="31">
        <v>2421935</v>
      </c>
      <c r="I18" s="251" t="s">
        <v>3555</v>
      </c>
    </row>
    <row r="19" spans="1:9" x14ac:dyDescent="0.25">
      <c r="A19" s="30" t="s">
        <v>3047</v>
      </c>
      <c r="B19" s="30" t="s">
        <v>3048</v>
      </c>
      <c r="C19" s="31">
        <v>0</v>
      </c>
      <c r="D19" s="31">
        <v>0</v>
      </c>
      <c r="E19" s="31">
        <v>0</v>
      </c>
      <c r="F19" s="31">
        <f t="shared" si="0"/>
        <v>0</v>
      </c>
      <c r="G19" s="31">
        <v>0</v>
      </c>
      <c r="H19" s="31">
        <v>0</v>
      </c>
      <c r="I19" s="251"/>
    </row>
    <row r="20" spans="1:9" x14ac:dyDescent="0.25">
      <c r="A20" s="23" t="s">
        <v>2157</v>
      </c>
      <c r="B20" s="23" t="s">
        <v>2</v>
      </c>
      <c r="C20" s="32">
        <v>129721.74</v>
      </c>
      <c r="D20" s="32">
        <v>20537.810000000001</v>
      </c>
      <c r="E20" s="32">
        <f>SUM(E17:E19)</f>
        <v>1013625.56</v>
      </c>
      <c r="F20" s="32">
        <f>SUM(F17:F19)</f>
        <v>1351500.7466666668</v>
      </c>
      <c r="G20" s="32">
        <f>SUM(G17:G19)</f>
        <v>2421935</v>
      </c>
      <c r="H20" s="32">
        <f>SUM(H17:H19)</f>
        <v>2421935</v>
      </c>
      <c r="I20" s="251"/>
    </row>
    <row r="21" spans="1:9" x14ac:dyDescent="0.25">
      <c r="A21" s="23" t="s">
        <v>2</v>
      </c>
      <c r="B21" s="23" t="s">
        <v>2</v>
      </c>
      <c r="C21" s="23" t="s">
        <v>2</v>
      </c>
      <c r="D21" s="23" t="s">
        <v>2</v>
      </c>
      <c r="E21" s="23"/>
      <c r="F21" s="23"/>
      <c r="G21" s="23" t="s">
        <v>2</v>
      </c>
      <c r="H21" s="23" t="s">
        <v>2</v>
      </c>
      <c r="I21" s="251"/>
    </row>
    <row r="22" spans="1:9" x14ac:dyDescent="0.25">
      <c r="A22" s="30" t="s">
        <v>3049</v>
      </c>
      <c r="B22" s="30" t="s">
        <v>3050</v>
      </c>
      <c r="C22" s="31">
        <v>0</v>
      </c>
      <c r="D22" s="31">
        <v>0</v>
      </c>
      <c r="E22" s="31">
        <v>0</v>
      </c>
      <c r="F22" s="31">
        <f>E22/9*12</f>
        <v>0</v>
      </c>
      <c r="G22" s="31">
        <v>0</v>
      </c>
      <c r="H22" s="31">
        <v>0</v>
      </c>
      <c r="I22" s="251"/>
    </row>
    <row r="23" spans="1:9" x14ac:dyDescent="0.25">
      <c r="A23" s="30"/>
      <c r="B23" s="30"/>
      <c r="C23" s="31"/>
      <c r="D23" s="31"/>
      <c r="E23" s="31"/>
      <c r="F23" s="31"/>
      <c r="G23" s="31"/>
      <c r="H23" s="31"/>
      <c r="I23" s="251"/>
    </row>
    <row r="24" spans="1:9" ht="24" x14ac:dyDescent="0.25">
      <c r="A24" s="23" t="s">
        <v>2174</v>
      </c>
      <c r="B24" s="23" t="s">
        <v>2</v>
      </c>
      <c r="C24" s="32">
        <v>129799.15</v>
      </c>
      <c r="D24" s="32">
        <v>20537.810000000001</v>
      </c>
      <c r="E24" s="32">
        <f>E14+E20+E22</f>
        <v>1013625.56</v>
      </c>
      <c r="F24" s="32">
        <f>F14+F20+F22</f>
        <v>1351500.7466666668</v>
      </c>
      <c r="G24" s="32">
        <f>G22+G20+G14</f>
        <v>2421935</v>
      </c>
      <c r="H24" s="32">
        <f>H22+H20+H14</f>
        <v>2421935</v>
      </c>
      <c r="I24" s="251"/>
    </row>
    <row r="25" spans="1:9" x14ac:dyDescent="0.25">
      <c r="A25" s="23" t="s">
        <v>2</v>
      </c>
      <c r="B25" s="23" t="s">
        <v>2</v>
      </c>
      <c r="C25" s="23" t="s">
        <v>2</v>
      </c>
      <c r="D25" s="23" t="s">
        <v>2</v>
      </c>
      <c r="E25" s="23"/>
      <c r="F25" s="23"/>
      <c r="G25" s="23" t="s">
        <v>2</v>
      </c>
      <c r="H25" s="23" t="s">
        <v>2</v>
      </c>
      <c r="I25" s="251"/>
    </row>
    <row r="26" spans="1:9" ht="24" x14ac:dyDescent="0.25">
      <c r="A26" s="23" t="s">
        <v>2706</v>
      </c>
      <c r="B26" s="23" t="s">
        <v>2</v>
      </c>
      <c r="C26" s="29"/>
      <c r="D26" s="29"/>
      <c r="E26" s="29"/>
      <c r="F26" s="29"/>
      <c r="G26" s="29"/>
      <c r="H26" s="29"/>
      <c r="I26" s="251"/>
    </row>
    <row r="27" spans="1:9" x14ac:dyDescent="0.25">
      <c r="A27" s="23" t="s">
        <v>2707</v>
      </c>
      <c r="B27" s="23" t="s">
        <v>2</v>
      </c>
      <c r="C27" s="29"/>
      <c r="D27" s="29"/>
      <c r="E27" s="29"/>
      <c r="F27" s="29"/>
      <c r="G27" s="29"/>
      <c r="H27" s="29"/>
      <c r="I27" s="251"/>
    </row>
    <row r="28" spans="1:9" x14ac:dyDescent="0.25">
      <c r="A28" s="30" t="s">
        <v>3051</v>
      </c>
      <c r="B28" s="30" t="s">
        <v>3052</v>
      </c>
      <c r="C28" s="31">
        <v>1485311.07</v>
      </c>
      <c r="D28" s="31">
        <v>769446.01</v>
      </c>
      <c r="E28" s="31">
        <v>1319963.6200000001</v>
      </c>
      <c r="F28" s="31">
        <f t="shared" ref="F28:F32" si="1">E28/9*12</f>
        <v>1759951.4933333336</v>
      </c>
      <c r="G28" s="31">
        <v>1433793</v>
      </c>
      <c r="H28" s="31">
        <f>G28*1.05</f>
        <v>1505482.6500000001</v>
      </c>
      <c r="I28" s="251"/>
    </row>
    <row r="29" spans="1:9" x14ac:dyDescent="0.25">
      <c r="A29" s="30" t="s">
        <v>3053</v>
      </c>
      <c r="B29" s="30" t="s">
        <v>3054</v>
      </c>
      <c r="C29" s="31">
        <v>42164.87</v>
      </c>
      <c r="D29" s="31">
        <v>20535.47</v>
      </c>
      <c r="E29" s="31">
        <v>35409.449999999997</v>
      </c>
      <c r="F29" s="31">
        <f t="shared" si="1"/>
        <v>47212.6</v>
      </c>
      <c r="G29" s="31">
        <v>40000</v>
      </c>
      <c r="H29" s="31">
        <f t="shared" ref="H29:H30" si="2">G29*1.05</f>
        <v>42000</v>
      </c>
      <c r="I29" s="251"/>
    </row>
    <row r="30" spans="1:9" x14ac:dyDescent="0.25">
      <c r="A30" s="30" t="s">
        <v>3055</v>
      </c>
      <c r="B30" s="30" t="s">
        <v>3056</v>
      </c>
      <c r="C30" s="31">
        <v>0</v>
      </c>
      <c r="D30" s="31">
        <v>0</v>
      </c>
      <c r="E30" s="31">
        <v>0</v>
      </c>
      <c r="F30" s="31">
        <f t="shared" si="1"/>
        <v>0</v>
      </c>
      <c r="G30" s="31">
        <v>0</v>
      </c>
      <c r="H30" s="31">
        <f t="shared" si="2"/>
        <v>0</v>
      </c>
      <c r="I30" s="251"/>
    </row>
    <row r="31" spans="1:9" x14ac:dyDescent="0.25">
      <c r="A31" s="30" t="s">
        <v>3057</v>
      </c>
      <c r="B31" s="30" t="s">
        <v>3058</v>
      </c>
      <c r="C31" s="31">
        <v>18900</v>
      </c>
      <c r="D31" s="31">
        <v>5000</v>
      </c>
      <c r="E31" s="31">
        <v>7860</v>
      </c>
      <c r="F31" s="31">
        <f t="shared" si="1"/>
        <v>10480</v>
      </c>
      <c r="G31" s="31">
        <v>10000</v>
      </c>
      <c r="H31" s="31">
        <f>G31*1.079</f>
        <v>10790</v>
      </c>
      <c r="I31" s="251"/>
    </row>
    <row r="32" spans="1:9" x14ac:dyDescent="0.25">
      <c r="A32" s="30" t="s">
        <v>3059</v>
      </c>
      <c r="B32" s="30" t="s">
        <v>2989</v>
      </c>
      <c r="C32" s="31">
        <v>1974.5</v>
      </c>
      <c r="D32" s="31">
        <v>689.5</v>
      </c>
      <c r="E32" s="31">
        <v>1189.52</v>
      </c>
      <c r="F32" s="31">
        <f t="shared" si="1"/>
        <v>1586.0266666666666</v>
      </c>
      <c r="G32" s="31">
        <v>3500</v>
      </c>
      <c r="H32" s="31">
        <f>G32</f>
        <v>3500</v>
      </c>
      <c r="I32" s="251"/>
    </row>
    <row r="33" spans="1:9" x14ac:dyDescent="0.25">
      <c r="A33" s="23" t="s">
        <v>2710</v>
      </c>
      <c r="B33" s="23" t="s">
        <v>2</v>
      </c>
      <c r="C33" s="32">
        <v>1548350.44</v>
      </c>
      <c r="D33" s="32">
        <v>795670.98</v>
      </c>
      <c r="E33" s="32">
        <f>SUM(E28:E32)</f>
        <v>1364422.59</v>
      </c>
      <c r="F33" s="32">
        <f>SUM(F28:F32)</f>
        <v>1819230.1200000003</v>
      </c>
      <c r="G33" s="32">
        <f>SUM(G28:G32)</f>
        <v>1487293</v>
      </c>
      <c r="H33" s="32">
        <f>SUM(H28:H32)</f>
        <v>1561772.6500000001</v>
      </c>
      <c r="I33" s="251"/>
    </row>
    <row r="34" spans="1:9" x14ac:dyDescent="0.25">
      <c r="A34" s="23" t="s">
        <v>2</v>
      </c>
      <c r="B34" s="23" t="s">
        <v>2</v>
      </c>
      <c r="C34" s="23" t="s">
        <v>2</v>
      </c>
      <c r="D34" s="23" t="s">
        <v>2</v>
      </c>
      <c r="E34" s="23"/>
      <c r="F34" s="23"/>
      <c r="G34" s="23" t="s">
        <v>2</v>
      </c>
      <c r="H34" s="23" t="s">
        <v>2</v>
      </c>
      <c r="I34" s="251"/>
    </row>
    <row r="35" spans="1:9" x14ac:dyDescent="0.25">
      <c r="A35" s="23" t="s">
        <v>2711</v>
      </c>
      <c r="B35" s="23" t="s">
        <v>2</v>
      </c>
      <c r="C35" s="29"/>
      <c r="D35" s="29"/>
      <c r="E35" s="29"/>
      <c r="F35" s="29"/>
      <c r="G35" s="29"/>
      <c r="H35" s="29"/>
      <c r="I35" s="251"/>
    </row>
    <row r="36" spans="1:9" x14ac:dyDescent="0.25">
      <c r="A36" s="30" t="s">
        <v>3060</v>
      </c>
      <c r="B36" s="30" t="s">
        <v>3061</v>
      </c>
      <c r="C36" s="31">
        <v>0</v>
      </c>
      <c r="D36" s="31">
        <v>0</v>
      </c>
      <c r="E36" s="31">
        <v>0</v>
      </c>
      <c r="F36" s="31">
        <f t="shared" ref="F36:F42" si="3">E36/9*12</f>
        <v>0</v>
      </c>
      <c r="G36" s="31">
        <v>0</v>
      </c>
      <c r="H36" s="31">
        <f>G36*1.079</f>
        <v>0</v>
      </c>
      <c r="I36" s="251"/>
    </row>
    <row r="37" spans="1:9" x14ac:dyDescent="0.25">
      <c r="A37" s="30" t="s">
        <v>3062</v>
      </c>
      <c r="B37" s="30" t="s">
        <v>3063</v>
      </c>
      <c r="C37" s="31">
        <v>0</v>
      </c>
      <c r="D37" s="31">
        <v>0</v>
      </c>
      <c r="E37" s="31">
        <v>0</v>
      </c>
      <c r="F37" s="31">
        <f t="shared" si="3"/>
        <v>0</v>
      </c>
      <c r="G37" s="31">
        <v>0</v>
      </c>
      <c r="H37" s="31">
        <f t="shared" ref="H37:H42" si="4">G37*1.079</f>
        <v>0</v>
      </c>
      <c r="I37" s="251"/>
    </row>
    <row r="38" spans="1:9" x14ac:dyDescent="0.25">
      <c r="A38" s="30" t="s">
        <v>3064</v>
      </c>
      <c r="B38" s="30" t="s">
        <v>3065</v>
      </c>
      <c r="C38" s="31">
        <v>0</v>
      </c>
      <c r="D38" s="31">
        <v>2100.13</v>
      </c>
      <c r="E38" s="31">
        <v>2100.13</v>
      </c>
      <c r="F38" s="31">
        <f t="shared" si="3"/>
        <v>2800.1733333333336</v>
      </c>
      <c r="G38" s="31">
        <v>0</v>
      </c>
      <c r="H38" s="31">
        <f t="shared" si="4"/>
        <v>0</v>
      </c>
      <c r="I38" s="251"/>
    </row>
    <row r="39" spans="1:9" x14ac:dyDescent="0.25">
      <c r="A39" s="30" t="s">
        <v>3066</v>
      </c>
      <c r="B39" s="30" t="s">
        <v>3067</v>
      </c>
      <c r="C39" s="31">
        <v>0</v>
      </c>
      <c r="D39" s="31">
        <v>8779.18</v>
      </c>
      <c r="E39" s="31">
        <v>8779.18</v>
      </c>
      <c r="F39" s="31">
        <f t="shared" si="3"/>
        <v>11705.573333333334</v>
      </c>
      <c r="G39" s="31">
        <v>0</v>
      </c>
      <c r="H39" s="31">
        <f t="shared" si="4"/>
        <v>0</v>
      </c>
      <c r="I39" s="251"/>
    </row>
    <row r="40" spans="1:9" x14ac:dyDescent="0.25">
      <c r="A40" s="30" t="s">
        <v>3068</v>
      </c>
      <c r="B40" s="30" t="s">
        <v>3069</v>
      </c>
      <c r="C40" s="31">
        <v>0</v>
      </c>
      <c r="D40" s="31">
        <v>0</v>
      </c>
      <c r="E40" s="31">
        <v>0</v>
      </c>
      <c r="F40" s="31">
        <f t="shared" si="3"/>
        <v>0</v>
      </c>
      <c r="G40" s="31">
        <v>0</v>
      </c>
      <c r="H40" s="31">
        <f t="shared" si="4"/>
        <v>0</v>
      </c>
      <c r="I40" s="251"/>
    </row>
    <row r="41" spans="1:9" x14ac:dyDescent="0.25">
      <c r="A41" s="30" t="s">
        <v>3070</v>
      </c>
      <c r="B41" s="30" t="s">
        <v>3071</v>
      </c>
      <c r="C41" s="31">
        <v>38717.1</v>
      </c>
      <c r="D41" s="31">
        <v>74443.09</v>
      </c>
      <c r="E41" s="31">
        <v>97271.94</v>
      </c>
      <c r="F41" s="31">
        <f t="shared" si="3"/>
        <v>129695.92000000001</v>
      </c>
      <c r="G41" s="31">
        <v>25000</v>
      </c>
      <c r="H41" s="31">
        <f t="shared" si="4"/>
        <v>26975</v>
      </c>
      <c r="I41" s="251"/>
    </row>
    <row r="42" spans="1:9" x14ac:dyDescent="0.25">
      <c r="A42" s="30" t="s">
        <v>3072</v>
      </c>
      <c r="B42" s="30" t="s">
        <v>3073</v>
      </c>
      <c r="C42" s="31">
        <v>84000</v>
      </c>
      <c r="D42" s="31">
        <v>29000</v>
      </c>
      <c r="E42" s="31">
        <v>45500</v>
      </c>
      <c r="F42" s="31">
        <f t="shared" si="3"/>
        <v>60666.666666666672</v>
      </c>
      <c r="G42" s="31">
        <v>30000</v>
      </c>
      <c r="H42" s="31">
        <f t="shared" si="4"/>
        <v>32370</v>
      </c>
      <c r="I42" s="251"/>
    </row>
    <row r="43" spans="1:9" x14ac:dyDescent="0.25">
      <c r="A43" s="23" t="s">
        <v>2720</v>
      </c>
      <c r="B43" s="23" t="s">
        <v>2</v>
      </c>
      <c r="C43" s="32">
        <v>122717.1</v>
      </c>
      <c r="D43" s="32">
        <v>114322.4</v>
      </c>
      <c r="E43" s="32">
        <f>SUM(E36:E42)</f>
        <v>153651.25</v>
      </c>
      <c r="F43" s="32">
        <f>SUM(F36:F42)</f>
        <v>204868.33333333337</v>
      </c>
      <c r="G43" s="32">
        <f>SUM(G36:G42)</f>
        <v>55000</v>
      </c>
      <c r="H43" s="32">
        <f>SUM(H36:H42)</f>
        <v>59345</v>
      </c>
      <c r="I43" s="251"/>
    </row>
    <row r="44" spans="1:9" x14ac:dyDescent="0.25">
      <c r="A44" s="23" t="s">
        <v>2</v>
      </c>
      <c r="B44" s="23" t="s">
        <v>2</v>
      </c>
      <c r="C44" s="23" t="s">
        <v>2</v>
      </c>
      <c r="D44" s="23" t="s">
        <v>2</v>
      </c>
      <c r="E44" s="23"/>
      <c r="F44" s="23"/>
      <c r="G44" s="23" t="s">
        <v>2</v>
      </c>
      <c r="H44" s="23" t="s">
        <v>2</v>
      </c>
      <c r="I44" s="251"/>
    </row>
    <row r="45" spans="1:9" ht="24" x14ac:dyDescent="0.25">
      <c r="A45" s="23" t="s">
        <v>2721</v>
      </c>
      <c r="B45" s="23" t="s">
        <v>2</v>
      </c>
      <c r="C45" s="32">
        <v>1671067.54</v>
      </c>
      <c r="D45" s="32">
        <v>909993.38</v>
      </c>
      <c r="E45" s="32">
        <f>E33+E43</f>
        <v>1518073.84</v>
      </c>
      <c r="F45" s="32">
        <f>F33+F43</f>
        <v>2024098.4533333336</v>
      </c>
      <c r="G45" s="32">
        <f>G43+G33</f>
        <v>1542293</v>
      </c>
      <c r="H45" s="32">
        <f>H43+H33</f>
        <v>1621117.6500000001</v>
      </c>
      <c r="I45" s="251"/>
    </row>
    <row r="46" spans="1:9" x14ac:dyDescent="0.25">
      <c r="A46" s="23" t="s">
        <v>2</v>
      </c>
      <c r="B46" s="23" t="s">
        <v>2</v>
      </c>
      <c r="C46" s="23" t="s">
        <v>2</v>
      </c>
      <c r="D46" s="23" t="s">
        <v>2</v>
      </c>
      <c r="E46" s="23"/>
      <c r="F46" s="23"/>
      <c r="G46" s="23" t="s">
        <v>2</v>
      </c>
      <c r="H46" s="23" t="s">
        <v>2</v>
      </c>
      <c r="I46" s="251"/>
    </row>
    <row r="47" spans="1:9" x14ac:dyDescent="0.25">
      <c r="A47" s="30" t="s">
        <v>3074</v>
      </c>
      <c r="B47" s="30" t="s">
        <v>2584</v>
      </c>
      <c r="C47" s="31">
        <v>791.09</v>
      </c>
      <c r="D47" s="31">
        <v>2736.83</v>
      </c>
      <c r="E47" s="31">
        <v>3797.13</v>
      </c>
      <c r="F47" s="31">
        <f t="shared" ref="F47:F49" si="5">E47/9*12</f>
        <v>5062.84</v>
      </c>
      <c r="G47" s="31">
        <v>0</v>
      </c>
      <c r="H47" s="31">
        <v>0</v>
      </c>
      <c r="I47" s="251"/>
    </row>
    <row r="48" spans="1:9" x14ac:dyDescent="0.25">
      <c r="A48" s="30" t="s">
        <v>3075</v>
      </c>
      <c r="B48" s="30" t="s">
        <v>2930</v>
      </c>
      <c r="C48" s="31">
        <v>132</v>
      </c>
      <c r="D48" s="31">
        <v>108</v>
      </c>
      <c r="E48" s="31">
        <v>178.02</v>
      </c>
      <c r="F48" s="31">
        <f t="shared" si="5"/>
        <v>237.36</v>
      </c>
      <c r="G48" s="31">
        <v>0</v>
      </c>
      <c r="H48" s="31">
        <v>0</v>
      </c>
      <c r="I48" s="251"/>
    </row>
    <row r="49" spans="1:9" x14ac:dyDescent="0.25">
      <c r="A49" s="30" t="s">
        <v>3076</v>
      </c>
      <c r="B49" s="30" t="s">
        <v>2934</v>
      </c>
      <c r="C49" s="31">
        <v>0</v>
      </c>
      <c r="D49" s="31">
        <v>314.12</v>
      </c>
      <c r="E49" s="31">
        <v>2340.2199999999998</v>
      </c>
      <c r="F49" s="31">
        <f t="shared" si="5"/>
        <v>3120.2933333333331</v>
      </c>
      <c r="G49" s="31">
        <v>0</v>
      </c>
      <c r="H49" s="31">
        <v>0</v>
      </c>
      <c r="I49" s="251"/>
    </row>
    <row r="50" spans="1:9" x14ac:dyDescent="0.25">
      <c r="A50" s="30"/>
      <c r="B50" s="30"/>
      <c r="C50" s="31"/>
      <c r="D50" s="31"/>
      <c r="E50" s="31"/>
      <c r="F50" s="31"/>
      <c r="G50" s="31"/>
      <c r="H50" s="31"/>
      <c r="I50" s="251"/>
    </row>
    <row r="51" spans="1:9" x14ac:dyDescent="0.25">
      <c r="A51" s="23" t="s">
        <v>2175</v>
      </c>
      <c r="B51" s="23" t="s">
        <v>2</v>
      </c>
      <c r="C51" s="29"/>
      <c r="D51" s="29"/>
      <c r="E51" s="29"/>
      <c r="F51" s="29"/>
      <c r="G51" s="29"/>
      <c r="H51" s="29"/>
      <c r="I51" s="251"/>
    </row>
    <row r="52" spans="1:9" x14ac:dyDescent="0.25">
      <c r="A52" s="23" t="s">
        <v>2176</v>
      </c>
      <c r="B52" s="23" t="s">
        <v>2</v>
      </c>
      <c r="C52" s="29"/>
      <c r="D52" s="29"/>
      <c r="E52" s="29"/>
      <c r="F52" s="29"/>
      <c r="G52" s="29"/>
      <c r="H52" s="29"/>
      <c r="I52" s="251"/>
    </row>
    <row r="53" spans="1:9" x14ac:dyDescent="0.25">
      <c r="A53" s="30" t="s">
        <v>3077</v>
      </c>
      <c r="B53" s="30" t="s">
        <v>2409</v>
      </c>
      <c r="C53" s="31">
        <v>867.63</v>
      </c>
      <c r="D53" s="31">
        <v>797.25</v>
      </c>
      <c r="E53" s="31">
        <v>3405.29</v>
      </c>
      <c r="F53" s="31">
        <f t="shared" ref="F53:F55" si="6">E53/9*12</f>
        <v>4540.3866666666663</v>
      </c>
      <c r="G53" s="31">
        <v>0</v>
      </c>
      <c r="H53" s="31">
        <v>0</v>
      </c>
      <c r="I53" s="251"/>
    </row>
    <row r="54" spans="1:9" x14ac:dyDescent="0.25">
      <c r="A54" s="30" t="s">
        <v>3078</v>
      </c>
      <c r="B54" s="30" t="s">
        <v>2703</v>
      </c>
      <c r="C54" s="31">
        <v>0</v>
      </c>
      <c r="D54" s="31">
        <v>0</v>
      </c>
      <c r="E54" s="31">
        <v>0</v>
      </c>
      <c r="F54" s="31">
        <f t="shared" si="6"/>
        <v>0</v>
      </c>
      <c r="G54" s="31">
        <v>0</v>
      </c>
      <c r="H54" s="31">
        <v>0</v>
      </c>
      <c r="I54" s="251"/>
    </row>
    <row r="55" spans="1:9" x14ac:dyDescent="0.25">
      <c r="A55" s="30" t="s">
        <v>3079</v>
      </c>
      <c r="B55" s="30" t="s">
        <v>2938</v>
      </c>
      <c r="C55" s="31">
        <v>1.77</v>
      </c>
      <c r="D55" s="31">
        <v>0.2</v>
      </c>
      <c r="E55" s="31">
        <v>0.28000000000000003</v>
      </c>
      <c r="F55" s="31">
        <f t="shared" si="6"/>
        <v>0.37333333333333335</v>
      </c>
      <c r="G55" s="31">
        <v>0</v>
      </c>
      <c r="H55" s="31">
        <v>0</v>
      </c>
      <c r="I55" s="251"/>
    </row>
    <row r="56" spans="1:9" ht="24" x14ac:dyDescent="0.25">
      <c r="A56" s="23" t="s">
        <v>2179</v>
      </c>
      <c r="B56" s="23" t="s">
        <v>2</v>
      </c>
      <c r="C56" s="32">
        <v>869.4</v>
      </c>
      <c r="D56" s="32">
        <v>797.45</v>
      </c>
      <c r="E56" s="32">
        <f>SUM(E53:E55)</f>
        <v>3405.57</v>
      </c>
      <c r="F56" s="32">
        <f>SUM(F53:F55)</f>
        <v>4540.7599999999993</v>
      </c>
      <c r="G56" s="32">
        <f>SUM(G53:G55)</f>
        <v>0</v>
      </c>
      <c r="H56" s="32">
        <f>SUM(H53:H55)</f>
        <v>0</v>
      </c>
      <c r="I56" s="251"/>
    </row>
    <row r="57" spans="1:9" x14ac:dyDescent="0.25">
      <c r="A57" s="23" t="s">
        <v>2</v>
      </c>
      <c r="B57" s="23" t="s">
        <v>2</v>
      </c>
      <c r="C57" s="23" t="s">
        <v>2</v>
      </c>
      <c r="D57" s="23" t="s">
        <v>2</v>
      </c>
      <c r="E57" s="23"/>
      <c r="F57" s="23"/>
      <c r="G57" s="23" t="s">
        <v>2</v>
      </c>
      <c r="H57" s="23" t="s">
        <v>2</v>
      </c>
      <c r="I57" s="251"/>
    </row>
    <row r="58" spans="1:9" ht="24" x14ac:dyDescent="0.25">
      <c r="A58" s="23" t="s">
        <v>2581</v>
      </c>
      <c r="B58" s="23" t="s">
        <v>2</v>
      </c>
      <c r="C58" s="29"/>
      <c r="D58" s="29"/>
      <c r="E58" s="29"/>
      <c r="F58" s="29"/>
      <c r="G58" s="29"/>
      <c r="H58" s="29"/>
      <c r="I58" s="251"/>
    </row>
    <row r="59" spans="1:9" x14ac:dyDescent="0.25">
      <c r="A59" s="30" t="s">
        <v>3080</v>
      </c>
      <c r="B59" s="30" t="s">
        <v>2942</v>
      </c>
      <c r="C59" s="31">
        <v>0</v>
      </c>
      <c r="D59" s="31">
        <v>0</v>
      </c>
      <c r="E59" s="31">
        <v>0</v>
      </c>
      <c r="F59" s="31">
        <f>E59/9*12</f>
        <v>0</v>
      </c>
      <c r="G59" s="31">
        <v>0</v>
      </c>
      <c r="H59" s="31">
        <v>0</v>
      </c>
      <c r="I59" s="251"/>
    </row>
    <row r="60" spans="1:9" ht="24" x14ac:dyDescent="0.25">
      <c r="A60" s="23" t="s">
        <v>2585</v>
      </c>
      <c r="B60" s="23" t="s">
        <v>2</v>
      </c>
      <c r="C60" s="32">
        <v>0</v>
      </c>
      <c r="D60" s="32">
        <v>0</v>
      </c>
      <c r="E60" s="32">
        <f>E59</f>
        <v>0</v>
      </c>
      <c r="F60" s="32">
        <f>F59</f>
        <v>0</v>
      </c>
      <c r="G60" s="32">
        <f>SUM(G59)</f>
        <v>0</v>
      </c>
      <c r="H60" s="32">
        <f>SUM(H59)</f>
        <v>0</v>
      </c>
      <c r="I60" s="251"/>
    </row>
    <row r="61" spans="1:9" x14ac:dyDescent="0.25">
      <c r="A61" s="23" t="s">
        <v>2</v>
      </c>
      <c r="B61" s="23" t="s">
        <v>2</v>
      </c>
      <c r="C61" s="23" t="s">
        <v>2</v>
      </c>
      <c r="D61" s="23" t="s">
        <v>2</v>
      </c>
      <c r="E61" s="23"/>
      <c r="F61" s="23"/>
      <c r="G61" s="23" t="s">
        <v>2</v>
      </c>
      <c r="H61" s="23" t="s">
        <v>2</v>
      </c>
      <c r="I61" s="251"/>
    </row>
    <row r="62" spans="1:9" ht="24" x14ac:dyDescent="0.25">
      <c r="A62" s="23" t="s">
        <v>2180</v>
      </c>
      <c r="B62" s="23" t="s">
        <v>2</v>
      </c>
      <c r="C62" s="32">
        <v>869.4</v>
      </c>
      <c r="D62" s="32">
        <v>797.45</v>
      </c>
      <c r="E62" s="32">
        <f>E60+E56</f>
        <v>3405.57</v>
      </c>
      <c r="F62" s="32">
        <f>F60+F56</f>
        <v>4540.7599999999993</v>
      </c>
      <c r="G62" s="32">
        <f>G60+G56</f>
        <v>0</v>
      </c>
      <c r="H62" s="32">
        <f>H60+H56</f>
        <v>0</v>
      </c>
      <c r="I62" s="251"/>
    </row>
    <row r="63" spans="1:9" x14ac:dyDescent="0.25">
      <c r="A63" s="23" t="s">
        <v>2</v>
      </c>
      <c r="B63" s="23" t="s">
        <v>2</v>
      </c>
      <c r="C63" s="23" t="s">
        <v>2</v>
      </c>
      <c r="D63" s="23" t="s">
        <v>2</v>
      </c>
      <c r="E63" s="23"/>
      <c r="F63" s="23"/>
      <c r="G63" s="23" t="s">
        <v>2</v>
      </c>
      <c r="H63" s="23" t="s">
        <v>2</v>
      </c>
      <c r="I63" s="251"/>
    </row>
    <row r="64" spans="1:9" x14ac:dyDescent="0.25">
      <c r="A64" s="23" t="s">
        <v>2532</v>
      </c>
      <c r="B64" s="23" t="s">
        <v>2</v>
      </c>
      <c r="C64" s="29"/>
      <c r="D64" s="29"/>
      <c r="E64" s="29"/>
      <c r="F64" s="29"/>
      <c r="G64" s="29"/>
      <c r="H64" s="29"/>
      <c r="I64" s="251"/>
    </row>
    <row r="65" spans="1:9" x14ac:dyDescent="0.25">
      <c r="A65" s="30" t="s">
        <v>3081</v>
      </c>
      <c r="B65" s="30" t="s">
        <v>3082</v>
      </c>
      <c r="C65" s="31">
        <v>0</v>
      </c>
      <c r="D65" s="31">
        <v>0</v>
      </c>
      <c r="E65" s="31">
        <v>0</v>
      </c>
      <c r="F65" s="31">
        <f>E65/9*12</f>
        <v>0</v>
      </c>
      <c r="G65" s="31">
        <v>0</v>
      </c>
      <c r="H65" s="31">
        <v>0</v>
      </c>
      <c r="I65" s="251"/>
    </row>
    <row r="66" spans="1:9" ht="24" x14ac:dyDescent="0.25">
      <c r="A66" s="23" t="s">
        <v>2537</v>
      </c>
      <c r="B66" s="23" t="s">
        <v>2</v>
      </c>
      <c r="C66" s="32">
        <v>0</v>
      </c>
      <c r="D66" s="32">
        <v>0</v>
      </c>
      <c r="E66" s="32">
        <f>E65</f>
        <v>0</v>
      </c>
      <c r="F66" s="32">
        <f>F65</f>
        <v>0</v>
      </c>
      <c r="G66" s="32">
        <f>SUM(G65)</f>
        <v>0</v>
      </c>
      <c r="H66" s="32">
        <f>SUM(H65)</f>
        <v>0</v>
      </c>
      <c r="I66" s="251"/>
    </row>
    <row r="67" spans="1:9" x14ac:dyDescent="0.25">
      <c r="A67" s="23" t="s">
        <v>2</v>
      </c>
      <c r="B67" s="23" t="s">
        <v>2</v>
      </c>
      <c r="C67" s="23" t="s">
        <v>2</v>
      </c>
      <c r="D67" s="23" t="s">
        <v>2</v>
      </c>
      <c r="E67" s="23"/>
      <c r="F67" s="23"/>
      <c r="G67" s="23" t="s">
        <v>2</v>
      </c>
      <c r="H67" s="23" t="s">
        <v>2</v>
      </c>
      <c r="I67" s="251"/>
    </row>
    <row r="68" spans="1:9" ht="24" x14ac:dyDescent="0.25">
      <c r="A68" s="23" t="s">
        <v>2948</v>
      </c>
      <c r="B68" s="23" t="s">
        <v>2</v>
      </c>
      <c r="C68" s="29"/>
      <c r="D68" s="29"/>
      <c r="E68" s="29"/>
      <c r="F68" s="29"/>
      <c r="G68" s="29"/>
      <c r="H68" s="29"/>
      <c r="I68" s="251"/>
    </row>
    <row r="69" spans="1:9" x14ac:dyDescent="0.25">
      <c r="A69" s="30" t="s">
        <v>3083</v>
      </c>
      <c r="B69" s="30" t="s">
        <v>2539</v>
      </c>
      <c r="C69" s="31">
        <v>0</v>
      </c>
      <c r="D69" s="31">
        <v>0</v>
      </c>
      <c r="E69" s="31">
        <v>0</v>
      </c>
      <c r="F69" s="31">
        <f>E69/9*12</f>
        <v>0</v>
      </c>
      <c r="G69" s="31">
        <v>0</v>
      </c>
      <c r="H69" s="31">
        <v>0</v>
      </c>
      <c r="I69" s="251"/>
    </row>
    <row r="70" spans="1:9" ht="24" x14ac:dyDescent="0.25">
      <c r="A70" s="23" t="s">
        <v>2950</v>
      </c>
      <c r="B70" s="23" t="s">
        <v>2</v>
      </c>
      <c r="C70" s="32">
        <v>0</v>
      </c>
      <c r="D70" s="32">
        <v>0</v>
      </c>
      <c r="E70" s="32">
        <f>E69</f>
        <v>0</v>
      </c>
      <c r="F70" s="32">
        <f>F69</f>
        <v>0</v>
      </c>
      <c r="G70" s="32">
        <f>SUM(G69)</f>
        <v>0</v>
      </c>
      <c r="H70" s="32">
        <f>SUM(H69)</f>
        <v>0</v>
      </c>
      <c r="I70" s="251"/>
    </row>
    <row r="71" spans="1:9" x14ac:dyDescent="0.25">
      <c r="A71" s="23" t="s">
        <v>2</v>
      </c>
      <c r="B71" s="23" t="s">
        <v>2</v>
      </c>
      <c r="C71" s="23" t="s">
        <v>2</v>
      </c>
      <c r="D71" s="23" t="s">
        <v>2</v>
      </c>
      <c r="E71" s="23"/>
      <c r="F71" s="23"/>
      <c r="G71" s="23" t="s">
        <v>2</v>
      </c>
      <c r="H71" s="23" t="s">
        <v>2</v>
      </c>
      <c r="I71" s="251"/>
    </row>
    <row r="72" spans="1:9" x14ac:dyDescent="0.25">
      <c r="A72" s="23" t="s">
        <v>2553</v>
      </c>
      <c r="B72" s="23" t="s">
        <v>2</v>
      </c>
      <c r="C72" s="29"/>
      <c r="D72" s="29"/>
      <c r="E72" s="29"/>
      <c r="F72" s="29"/>
      <c r="G72" s="29"/>
      <c r="H72" s="29"/>
      <c r="I72" s="251"/>
    </row>
    <row r="73" spans="1:9" ht="24" x14ac:dyDescent="0.25">
      <c r="A73" s="23" t="s">
        <v>3006</v>
      </c>
      <c r="B73" s="23" t="s">
        <v>2</v>
      </c>
      <c r="C73" s="29"/>
      <c r="D73" s="29"/>
      <c r="E73" s="29"/>
      <c r="F73" s="29"/>
      <c r="G73" s="29"/>
      <c r="H73" s="29"/>
      <c r="I73" s="251"/>
    </row>
    <row r="74" spans="1:9" x14ac:dyDescent="0.25">
      <c r="A74" s="30" t="s">
        <v>3084</v>
      </c>
      <c r="B74" s="30" t="s">
        <v>2961</v>
      </c>
      <c r="C74" s="31">
        <v>0</v>
      </c>
      <c r="D74" s="31">
        <v>0</v>
      </c>
      <c r="E74" s="31">
        <v>0</v>
      </c>
      <c r="F74" s="31">
        <f>E74/9*12</f>
        <v>0</v>
      </c>
      <c r="G74" s="31">
        <v>2750000</v>
      </c>
      <c r="H74" s="31">
        <v>0</v>
      </c>
      <c r="I74" s="251"/>
    </row>
    <row r="75" spans="1:9" ht="36" x14ac:dyDescent="0.25">
      <c r="A75" s="23" t="s">
        <v>3011</v>
      </c>
      <c r="B75" s="23" t="s">
        <v>2</v>
      </c>
      <c r="C75" s="32">
        <v>0</v>
      </c>
      <c r="D75" s="32">
        <v>0</v>
      </c>
      <c r="E75" s="32">
        <f>E74</f>
        <v>0</v>
      </c>
      <c r="F75" s="32">
        <f>F74</f>
        <v>0</v>
      </c>
      <c r="G75" s="32">
        <f>SUM(G74)</f>
        <v>2750000</v>
      </c>
      <c r="H75" s="32">
        <f>SUM(H74)</f>
        <v>0</v>
      </c>
      <c r="I75" s="251"/>
    </row>
    <row r="76" spans="1:9" x14ac:dyDescent="0.25">
      <c r="A76" s="23" t="s">
        <v>2</v>
      </c>
      <c r="B76" s="23" t="s">
        <v>2</v>
      </c>
      <c r="C76" s="23" t="s">
        <v>2</v>
      </c>
      <c r="D76" s="23" t="s">
        <v>2</v>
      </c>
      <c r="E76" s="23"/>
      <c r="F76" s="23"/>
      <c r="G76" s="23" t="s">
        <v>2</v>
      </c>
      <c r="H76" s="23" t="s">
        <v>2</v>
      </c>
      <c r="I76" s="251"/>
    </row>
    <row r="77" spans="1:9" x14ac:dyDescent="0.25">
      <c r="A77" s="23" t="s">
        <v>2724</v>
      </c>
      <c r="B77" s="23" t="s">
        <v>2</v>
      </c>
      <c r="C77" s="29"/>
      <c r="D77" s="29"/>
      <c r="E77" s="29"/>
      <c r="F77" s="29"/>
      <c r="G77" s="29"/>
      <c r="H77" s="29"/>
      <c r="I77" s="251"/>
    </row>
    <row r="78" spans="1:9" x14ac:dyDescent="0.25">
      <c r="A78" s="109" t="s">
        <v>3085</v>
      </c>
      <c r="B78" s="109" t="s">
        <v>2965</v>
      </c>
      <c r="C78" s="110">
        <v>0</v>
      </c>
      <c r="D78" s="110">
        <v>0</v>
      </c>
      <c r="E78" s="110">
        <v>0</v>
      </c>
      <c r="F78" s="110">
        <v>0</v>
      </c>
      <c r="G78" s="110">
        <v>0</v>
      </c>
      <c r="H78" s="110">
        <f>Transfers!$C$66</f>
        <v>0</v>
      </c>
      <c r="I78" s="253"/>
    </row>
    <row r="79" spans="1:9" x14ac:dyDescent="0.25">
      <c r="A79" s="109" t="s">
        <v>3086</v>
      </c>
      <c r="B79" s="109" t="s">
        <v>3087</v>
      </c>
      <c r="C79" s="110">
        <v>0</v>
      </c>
      <c r="D79" s="110">
        <v>0</v>
      </c>
      <c r="E79" s="110">
        <v>0</v>
      </c>
      <c r="F79" s="110">
        <v>0</v>
      </c>
      <c r="G79" s="110">
        <v>0</v>
      </c>
      <c r="H79" s="110">
        <f>Transfers!$C$67</f>
        <v>0</v>
      </c>
      <c r="I79" s="253"/>
    </row>
    <row r="80" spans="1:9" x14ac:dyDescent="0.25">
      <c r="A80" s="23" t="s">
        <v>2725</v>
      </c>
      <c r="B80" s="23" t="s">
        <v>2</v>
      </c>
      <c r="C80" s="32">
        <v>0</v>
      </c>
      <c r="D80" s="32">
        <v>0</v>
      </c>
      <c r="E80" s="32">
        <f>E78+E79</f>
        <v>0</v>
      </c>
      <c r="F80" s="32">
        <f>F78+F79</f>
        <v>0</v>
      </c>
      <c r="G80" s="32">
        <f>SUM(G78:G79)</f>
        <v>0</v>
      </c>
      <c r="H80" s="32">
        <f>SUM(H78:H79)</f>
        <v>0</v>
      </c>
      <c r="I80" s="251"/>
    </row>
    <row r="81" spans="1:9" x14ac:dyDescent="0.25">
      <c r="A81" s="23" t="s">
        <v>2</v>
      </c>
      <c r="B81" s="23" t="s">
        <v>2</v>
      </c>
      <c r="C81" s="23" t="s">
        <v>2</v>
      </c>
      <c r="D81" s="23" t="s">
        <v>2</v>
      </c>
      <c r="E81" s="23"/>
      <c r="F81" s="23"/>
      <c r="G81" s="23" t="s">
        <v>2</v>
      </c>
      <c r="H81" s="23" t="s">
        <v>2</v>
      </c>
      <c r="I81" s="251"/>
    </row>
    <row r="82" spans="1:9" ht="24" x14ac:dyDescent="0.25">
      <c r="A82" s="23" t="s">
        <v>2556</v>
      </c>
      <c r="B82" s="23" t="s">
        <v>2</v>
      </c>
      <c r="C82" s="32">
        <v>0</v>
      </c>
      <c r="D82" s="32">
        <v>0</v>
      </c>
      <c r="E82" s="32">
        <v>0</v>
      </c>
      <c r="F82" s="32">
        <v>0</v>
      </c>
      <c r="G82" s="32">
        <f>G80+G75</f>
        <v>2750000</v>
      </c>
      <c r="H82" s="32">
        <f>H80+H75</f>
        <v>0</v>
      </c>
      <c r="I82" s="251"/>
    </row>
    <row r="83" spans="1:9" x14ac:dyDescent="0.25">
      <c r="A83" s="23" t="s">
        <v>2</v>
      </c>
      <c r="B83" s="23" t="s">
        <v>2</v>
      </c>
      <c r="C83" s="23" t="s">
        <v>2</v>
      </c>
      <c r="D83" s="23" t="s">
        <v>2</v>
      </c>
      <c r="E83" s="23"/>
      <c r="F83" s="23"/>
      <c r="G83" s="23" t="s">
        <v>2</v>
      </c>
      <c r="H83" s="23" t="s">
        <v>2</v>
      </c>
      <c r="I83" s="251"/>
    </row>
    <row r="84" spans="1:9" x14ac:dyDescent="0.25">
      <c r="A84" s="23" t="s">
        <v>1827</v>
      </c>
      <c r="B84" s="23" t="s">
        <v>2</v>
      </c>
      <c r="C84" s="32">
        <v>1802659.18</v>
      </c>
      <c r="D84" s="32">
        <v>934487.59</v>
      </c>
      <c r="E84" s="32">
        <f>E24+E45+E47+E48+E49+E62</f>
        <v>2541420.3400000003</v>
      </c>
      <c r="F84" s="32">
        <f>F24+F45+F47+F48+F49+F62</f>
        <v>3388560.4533333331</v>
      </c>
      <c r="G84" s="32">
        <f>G82+G70+G66+G62+SUM(G47:G49)+G45+G24</f>
        <v>6714228</v>
      </c>
      <c r="H84" s="32">
        <f>H82+H70+H66+H62+SUM(H47:H49)+H45+H24</f>
        <v>4043052.6500000004</v>
      </c>
      <c r="I84" s="251"/>
    </row>
    <row r="85" spans="1:9" x14ac:dyDescent="0.25">
      <c r="A85" s="1" t="s">
        <v>740</v>
      </c>
      <c r="B85" s="1" t="s">
        <v>2</v>
      </c>
      <c r="C85" s="1" t="s">
        <v>2</v>
      </c>
      <c r="D85" s="1" t="s">
        <v>2</v>
      </c>
      <c r="E85" s="1"/>
      <c r="F85" s="1"/>
      <c r="G85" s="1" t="s">
        <v>2</v>
      </c>
      <c r="H85" s="1" t="s">
        <v>2</v>
      </c>
    </row>
    <row r="86" spans="1:9" ht="15" customHeight="1" x14ac:dyDescent="0.25">
      <c r="A86" s="1" t="s">
        <v>1699</v>
      </c>
      <c r="B86" s="1" t="s">
        <v>2</v>
      </c>
    </row>
    <row r="87" spans="1:9" x14ac:dyDescent="0.25">
      <c r="A87" s="1" t="s">
        <v>1700</v>
      </c>
      <c r="B87" s="1" t="s">
        <v>2</v>
      </c>
    </row>
    <row r="88" spans="1:9" ht="15" customHeight="1" x14ac:dyDescent="0.25">
      <c r="A88" s="2" t="s">
        <v>1701</v>
      </c>
      <c r="B88" s="2" t="s">
        <v>108</v>
      </c>
      <c r="C88" s="3">
        <v>211745.82</v>
      </c>
      <c r="D88" s="3">
        <v>71111.149999999994</v>
      </c>
      <c r="E88" s="3">
        <v>131176.92000000001</v>
      </c>
      <c r="F88" s="3">
        <f>E88/9*12</f>
        <v>174902.56000000003</v>
      </c>
      <c r="G88" s="3">
        <v>212817.42</v>
      </c>
      <c r="H88" s="302">
        <v>252589.42</v>
      </c>
      <c r="I88" s="254"/>
    </row>
    <row r="89" spans="1:9" ht="15" customHeight="1" x14ac:dyDescent="0.25">
      <c r="A89" s="2" t="s">
        <v>1702</v>
      </c>
      <c r="B89" s="2" t="s">
        <v>1703</v>
      </c>
      <c r="C89" s="3">
        <v>4639.37</v>
      </c>
      <c r="D89" s="3">
        <v>970.08</v>
      </c>
      <c r="E89" s="3">
        <v>6457.14</v>
      </c>
      <c r="F89" s="3">
        <f t="shared" ref="F89:F131" si="7">E89/9*12</f>
        <v>8609.52</v>
      </c>
      <c r="G89" s="3">
        <v>11575.08</v>
      </c>
      <c r="H89" s="302">
        <v>4606.01</v>
      </c>
    </row>
    <row r="90" spans="1:9" ht="15" customHeight="1" x14ac:dyDescent="0.25">
      <c r="A90" s="2" t="s">
        <v>1704</v>
      </c>
      <c r="B90" s="2" t="s">
        <v>1705</v>
      </c>
      <c r="C90" s="3">
        <v>147316.26999999999</v>
      </c>
      <c r="D90" s="3">
        <v>70882.61</v>
      </c>
      <c r="E90" s="3">
        <v>123263.57</v>
      </c>
      <c r="F90" s="3">
        <f t="shared" si="7"/>
        <v>164351.42666666667</v>
      </c>
      <c r="G90" s="3">
        <v>156261.23000000001</v>
      </c>
      <c r="H90" s="302">
        <v>161198.09</v>
      </c>
    </row>
    <row r="91" spans="1:9" ht="15" customHeight="1" x14ac:dyDescent="0.25">
      <c r="A91" s="2" t="s">
        <v>1706</v>
      </c>
      <c r="B91" s="2" t="s">
        <v>786</v>
      </c>
      <c r="C91" s="3">
        <v>16545.990000000002</v>
      </c>
      <c r="D91" s="3">
        <v>99.92</v>
      </c>
      <c r="E91" s="3">
        <v>247.29</v>
      </c>
      <c r="F91" s="3">
        <f t="shared" si="7"/>
        <v>329.72</v>
      </c>
      <c r="G91" s="3">
        <v>1493.92</v>
      </c>
      <c r="H91" s="302">
        <v>15821.86</v>
      </c>
    </row>
    <row r="92" spans="1:9" ht="15" customHeight="1" x14ac:dyDescent="0.25">
      <c r="A92" s="2" t="s">
        <v>1707</v>
      </c>
      <c r="B92" s="2" t="s">
        <v>29</v>
      </c>
      <c r="C92" s="3">
        <v>73494.14</v>
      </c>
      <c r="D92" s="3">
        <v>28846.25</v>
      </c>
      <c r="E92" s="3">
        <v>51387.51</v>
      </c>
      <c r="F92" s="3">
        <f t="shared" si="7"/>
        <v>68516.679999999993</v>
      </c>
      <c r="G92" s="3">
        <v>80055.179999999993</v>
      </c>
      <c r="H92" s="302">
        <f>87802.66</f>
        <v>87802.66</v>
      </c>
    </row>
    <row r="93" spans="1:9" ht="15" customHeight="1" x14ac:dyDescent="0.25">
      <c r="A93" s="2" t="s">
        <v>1708</v>
      </c>
      <c r="B93" s="2" t="s">
        <v>128</v>
      </c>
      <c r="C93" s="3">
        <v>5158.3599999999997</v>
      </c>
      <c r="D93" s="3">
        <v>1271.03</v>
      </c>
      <c r="E93" s="3">
        <v>2564.8000000000002</v>
      </c>
      <c r="F93" s="3">
        <f t="shared" si="7"/>
        <v>3419.7333333333336</v>
      </c>
      <c r="G93" s="3">
        <v>5438.68</v>
      </c>
      <c r="H93" s="302">
        <v>4672.03</v>
      </c>
    </row>
    <row r="94" spans="1:9" ht="15" customHeight="1" x14ac:dyDescent="0.25">
      <c r="A94" s="2" t="s">
        <v>1709</v>
      </c>
      <c r="B94" s="2" t="s">
        <v>33</v>
      </c>
      <c r="C94" s="3">
        <v>45345.120000000003</v>
      </c>
      <c r="D94" s="3">
        <v>15980.9</v>
      </c>
      <c r="E94" s="3">
        <v>28773.79</v>
      </c>
      <c r="F94" s="3">
        <f t="shared" si="7"/>
        <v>38365.05333333333</v>
      </c>
      <c r="G94" s="3">
        <v>42372.59</v>
      </c>
      <c r="H94" s="302">
        <v>43003.01</v>
      </c>
    </row>
    <row r="95" spans="1:9" x14ac:dyDescent="0.25">
      <c r="A95" s="2" t="s">
        <v>1710</v>
      </c>
      <c r="B95" s="2" t="s">
        <v>113</v>
      </c>
      <c r="C95" s="3">
        <v>27433.17</v>
      </c>
      <c r="D95" s="3">
        <v>10769.62</v>
      </c>
      <c r="E95" s="3">
        <v>19665.36</v>
      </c>
      <c r="F95" s="3">
        <f t="shared" si="7"/>
        <v>26220.48</v>
      </c>
      <c r="G95" s="3">
        <v>29120.01</v>
      </c>
      <c r="H95" s="302">
        <v>32007.1</v>
      </c>
    </row>
    <row r="96" spans="1:9" ht="15" customHeight="1" x14ac:dyDescent="0.25">
      <c r="A96" s="2" t="s">
        <v>1711</v>
      </c>
      <c r="B96" s="2" t="s">
        <v>13</v>
      </c>
      <c r="C96" s="3">
        <v>558.33000000000004</v>
      </c>
      <c r="D96" s="3">
        <v>306.02999999999997</v>
      </c>
      <c r="E96" s="3">
        <v>555.58000000000004</v>
      </c>
      <c r="F96" s="3">
        <f t="shared" si="7"/>
        <v>740.77333333333343</v>
      </c>
      <c r="G96" s="3">
        <v>561.76</v>
      </c>
      <c r="H96" s="302">
        <v>969.53</v>
      </c>
    </row>
    <row r="97" spans="1:8" ht="15" customHeight="1" x14ac:dyDescent="0.25">
      <c r="A97" s="2" t="s">
        <v>1712</v>
      </c>
      <c r="B97" s="2" t="s">
        <v>577</v>
      </c>
      <c r="C97" s="3">
        <v>327.73</v>
      </c>
      <c r="D97" s="3">
        <v>2.0099999999999998</v>
      </c>
      <c r="E97" s="3">
        <v>3.63</v>
      </c>
      <c r="F97" s="3">
        <f t="shared" si="7"/>
        <v>4.84</v>
      </c>
      <c r="G97" s="3">
        <v>39.450000000000003</v>
      </c>
      <c r="H97" s="302">
        <v>274.47000000000003</v>
      </c>
    </row>
    <row r="98" spans="1:8" ht="15" customHeight="1" x14ac:dyDescent="0.25">
      <c r="A98" s="2" t="s">
        <v>1713</v>
      </c>
      <c r="B98" s="2" t="s">
        <v>579</v>
      </c>
      <c r="C98" s="3">
        <v>1869.94</v>
      </c>
      <c r="D98" s="3">
        <v>11.7</v>
      </c>
      <c r="E98" s="3">
        <v>28.47</v>
      </c>
      <c r="F98" s="3">
        <f t="shared" si="7"/>
        <v>37.959999999999994</v>
      </c>
      <c r="G98" s="3">
        <v>177.13</v>
      </c>
      <c r="H98" s="302">
        <v>1643.89</v>
      </c>
    </row>
    <row r="99" spans="1:8" ht="15" customHeight="1" x14ac:dyDescent="0.25">
      <c r="A99" s="2" t="s">
        <v>1714</v>
      </c>
      <c r="B99" s="2" t="s">
        <v>581</v>
      </c>
      <c r="C99" s="3">
        <v>1245.48</v>
      </c>
      <c r="D99" s="3">
        <v>7.55</v>
      </c>
      <c r="E99" s="3">
        <v>18.66</v>
      </c>
      <c r="F99" s="3">
        <f t="shared" si="7"/>
        <v>24.88</v>
      </c>
      <c r="G99" s="3">
        <v>114.28</v>
      </c>
      <c r="H99" s="302">
        <v>1210.3699999999999</v>
      </c>
    </row>
    <row r="100" spans="1:8" x14ac:dyDescent="0.25">
      <c r="A100" s="2" t="s">
        <v>1715</v>
      </c>
      <c r="B100" s="2" t="s">
        <v>1716</v>
      </c>
      <c r="C100" s="3">
        <v>393.62</v>
      </c>
      <c r="D100" s="3">
        <v>112.4</v>
      </c>
      <c r="E100" s="3">
        <v>123.59</v>
      </c>
      <c r="F100" s="3">
        <f t="shared" si="7"/>
        <v>164.78666666666669</v>
      </c>
      <c r="G100" s="3">
        <v>1109.48</v>
      </c>
      <c r="H100" s="302">
        <v>1193.33</v>
      </c>
    </row>
    <row r="101" spans="1:8" ht="15" customHeight="1" x14ac:dyDescent="0.25">
      <c r="A101" s="2" t="s">
        <v>1717</v>
      </c>
      <c r="B101" s="2" t="s">
        <v>585</v>
      </c>
      <c r="C101" s="3">
        <v>630</v>
      </c>
      <c r="D101" s="3">
        <v>0</v>
      </c>
      <c r="E101" s="3">
        <v>0</v>
      </c>
      <c r="F101" s="3">
        <f t="shared" si="7"/>
        <v>0</v>
      </c>
      <c r="G101" s="3">
        <v>35</v>
      </c>
      <c r="H101" s="302">
        <v>245</v>
      </c>
    </row>
    <row r="102" spans="1:8" ht="15" customHeight="1" x14ac:dyDescent="0.25">
      <c r="A102" s="2" t="s">
        <v>1718</v>
      </c>
      <c r="B102" s="2" t="s">
        <v>37</v>
      </c>
      <c r="C102" s="3">
        <v>214.84</v>
      </c>
      <c r="D102" s="3">
        <v>159.54</v>
      </c>
      <c r="E102" s="3">
        <v>260.02</v>
      </c>
      <c r="F102" s="3">
        <f t="shared" si="7"/>
        <v>346.69333333333327</v>
      </c>
      <c r="G102" s="3">
        <v>500</v>
      </c>
      <c r="H102" s="5">
        <v>500</v>
      </c>
    </row>
    <row r="103" spans="1:8" ht="15" customHeight="1" x14ac:dyDescent="0.25">
      <c r="A103" s="2" t="s">
        <v>1719</v>
      </c>
      <c r="B103" s="2" t="s">
        <v>1720</v>
      </c>
      <c r="C103" s="3">
        <v>10715.51</v>
      </c>
      <c r="D103" s="3">
        <v>3026.54</v>
      </c>
      <c r="E103" s="3">
        <v>8185.04</v>
      </c>
      <c r="F103" s="3">
        <f t="shared" si="7"/>
        <v>10913.386666666665</v>
      </c>
      <c r="G103" s="3">
        <v>5000</v>
      </c>
      <c r="H103" s="5">
        <v>5500</v>
      </c>
    </row>
    <row r="104" spans="1:8" ht="15" customHeight="1" x14ac:dyDescent="0.25">
      <c r="A104" s="2" t="s">
        <v>1721</v>
      </c>
      <c r="B104" s="2" t="s">
        <v>1722</v>
      </c>
      <c r="C104" s="3">
        <v>4469.12</v>
      </c>
      <c r="D104" s="3">
        <v>0</v>
      </c>
      <c r="E104" s="3">
        <v>0</v>
      </c>
      <c r="F104" s="3">
        <f t="shared" si="7"/>
        <v>0</v>
      </c>
      <c r="G104" s="3">
        <v>5000</v>
      </c>
      <c r="H104" s="5">
        <v>5500</v>
      </c>
    </row>
    <row r="105" spans="1:8" ht="15" customHeight="1" x14ac:dyDescent="0.25">
      <c r="A105" s="2" t="s">
        <v>1723</v>
      </c>
      <c r="B105" s="2" t="s">
        <v>229</v>
      </c>
      <c r="C105" s="3">
        <v>755.9</v>
      </c>
      <c r="D105" s="3">
        <v>530.02</v>
      </c>
      <c r="E105" s="3">
        <v>1495.28</v>
      </c>
      <c r="F105" s="3">
        <f t="shared" si="7"/>
        <v>1993.7066666666665</v>
      </c>
      <c r="G105" s="3">
        <v>2000</v>
      </c>
      <c r="H105" s="5">
        <v>2000</v>
      </c>
    </row>
    <row r="106" spans="1:8" ht="15" customHeight="1" x14ac:dyDescent="0.25">
      <c r="A106" s="2" t="s">
        <v>1724</v>
      </c>
      <c r="B106" s="2" t="s">
        <v>940</v>
      </c>
      <c r="C106" s="3">
        <v>706.83</v>
      </c>
      <c r="D106" s="3">
        <v>96.73</v>
      </c>
      <c r="E106" s="3">
        <v>253.8</v>
      </c>
      <c r="F106" s="3">
        <f t="shared" si="7"/>
        <v>338.40000000000003</v>
      </c>
      <c r="G106" s="3">
        <v>1200</v>
      </c>
      <c r="H106" s="5">
        <v>1500</v>
      </c>
    </row>
    <row r="107" spans="1:8" ht="15" customHeight="1" x14ac:dyDescent="0.25">
      <c r="A107" s="2" t="s">
        <v>1725</v>
      </c>
      <c r="B107" s="2" t="s">
        <v>907</v>
      </c>
      <c r="C107" s="3">
        <v>98251.95</v>
      </c>
      <c r="D107" s="3">
        <v>83379.05</v>
      </c>
      <c r="E107" s="3">
        <v>83379.05</v>
      </c>
      <c r="F107" s="3">
        <f t="shared" si="7"/>
        <v>111172.06666666668</v>
      </c>
      <c r="G107" s="3">
        <v>83379.05</v>
      </c>
      <c r="H107" s="5">
        <f>'Central Services'!$C$8</f>
        <v>98251.95</v>
      </c>
    </row>
    <row r="108" spans="1:8" ht="15" customHeight="1" x14ac:dyDescent="0.25">
      <c r="A108" s="2" t="s">
        <v>1726</v>
      </c>
      <c r="B108" s="2" t="s">
        <v>43</v>
      </c>
      <c r="C108" s="3">
        <v>51207.72</v>
      </c>
      <c r="D108" s="3">
        <v>40545.230000000003</v>
      </c>
      <c r="E108" s="3">
        <v>40545.230000000003</v>
      </c>
      <c r="F108" s="3">
        <f t="shared" si="7"/>
        <v>54060.306666666671</v>
      </c>
      <c r="G108" s="3">
        <v>40545.230000000003</v>
      </c>
      <c r="H108" s="5">
        <f>Equipment!$C$19</f>
        <v>51207.724034234227</v>
      </c>
    </row>
    <row r="109" spans="1:8" x14ac:dyDescent="0.25">
      <c r="A109" s="2" t="s">
        <v>1727</v>
      </c>
      <c r="B109" s="2" t="s">
        <v>1728</v>
      </c>
      <c r="C109" s="3">
        <v>17868.27</v>
      </c>
      <c r="D109" s="3">
        <v>9193.59</v>
      </c>
      <c r="E109" s="3">
        <v>9193.59</v>
      </c>
      <c r="F109" s="3">
        <f t="shared" si="7"/>
        <v>12258.119999999999</v>
      </c>
      <c r="G109" s="3">
        <v>9193.59</v>
      </c>
      <c r="H109" s="5">
        <f>+'Computer '!$D$21</f>
        <v>17868.279769171102</v>
      </c>
    </row>
    <row r="110" spans="1:8" ht="15" customHeight="1" x14ac:dyDescent="0.25">
      <c r="A110" s="2" t="s">
        <v>1729</v>
      </c>
      <c r="B110" s="2" t="s">
        <v>1730</v>
      </c>
      <c r="C110" s="3">
        <v>13287.79</v>
      </c>
      <c r="D110" s="3">
        <v>11148.01</v>
      </c>
      <c r="E110" s="3">
        <v>19168.27</v>
      </c>
      <c r="F110" s="3">
        <f t="shared" si="7"/>
        <v>25557.693333333336</v>
      </c>
      <c r="G110" s="3">
        <v>115000</v>
      </c>
      <c r="H110" s="5">
        <v>120000</v>
      </c>
    </row>
    <row r="111" spans="1:8" x14ac:dyDescent="0.25">
      <c r="A111" s="2" t="s">
        <v>1731</v>
      </c>
      <c r="B111" s="2" t="s">
        <v>1732</v>
      </c>
      <c r="C111" s="3">
        <v>0</v>
      </c>
      <c r="D111" s="3">
        <v>0</v>
      </c>
      <c r="E111" s="3">
        <v>0</v>
      </c>
      <c r="F111" s="3">
        <f t="shared" si="7"/>
        <v>0</v>
      </c>
      <c r="G111" s="3">
        <v>0</v>
      </c>
      <c r="H111" s="5">
        <v>0</v>
      </c>
    </row>
    <row r="112" spans="1:8" ht="15" customHeight="1" x14ac:dyDescent="0.25">
      <c r="A112" s="2" t="s">
        <v>1733</v>
      </c>
      <c r="B112" s="2" t="s">
        <v>1734</v>
      </c>
      <c r="C112" s="3">
        <v>0</v>
      </c>
      <c r="D112" s="3">
        <v>0</v>
      </c>
      <c r="E112" s="3">
        <v>0</v>
      </c>
      <c r="F112" s="3">
        <f t="shared" si="7"/>
        <v>0</v>
      </c>
      <c r="G112" s="3">
        <v>0</v>
      </c>
      <c r="H112" s="5">
        <v>0</v>
      </c>
    </row>
    <row r="113" spans="1:8" x14ac:dyDescent="0.25">
      <c r="A113" s="2" t="s">
        <v>1735</v>
      </c>
      <c r="B113" s="2" t="s">
        <v>1736</v>
      </c>
      <c r="C113" s="3">
        <v>5159.1499999999996</v>
      </c>
      <c r="D113" s="3">
        <v>892.16</v>
      </c>
      <c r="E113" s="3">
        <v>3174.8</v>
      </c>
      <c r="F113" s="3">
        <f t="shared" si="7"/>
        <v>4233.0666666666675</v>
      </c>
      <c r="G113" s="3">
        <v>55000</v>
      </c>
      <c r="H113" s="5">
        <v>55000</v>
      </c>
    </row>
    <row r="114" spans="1:8" x14ac:dyDescent="0.25">
      <c r="A114" s="2" t="s">
        <v>1737</v>
      </c>
      <c r="B114" s="2" t="s">
        <v>1738</v>
      </c>
      <c r="C114" s="3">
        <v>0</v>
      </c>
      <c r="D114" s="3">
        <v>0</v>
      </c>
      <c r="E114" s="3">
        <v>0</v>
      </c>
      <c r="F114" s="3">
        <f t="shared" si="7"/>
        <v>0</v>
      </c>
      <c r="G114" s="3">
        <v>0</v>
      </c>
      <c r="H114" s="5">
        <v>0</v>
      </c>
    </row>
    <row r="115" spans="1:8" ht="15" customHeight="1" x14ac:dyDescent="0.25">
      <c r="A115" s="2" t="s">
        <v>1739</v>
      </c>
      <c r="B115" s="2" t="s">
        <v>604</v>
      </c>
      <c r="C115" s="3">
        <v>0</v>
      </c>
      <c r="D115" s="3">
        <v>0</v>
      </c>
      <c r="E115" s="3">
        <v>0</v>
      </c>
      <c r="F115" s="3">
        <f t="shared" si="7"/>
        <v>0</v>
      </c>
      <c r="G115" s="3">
        <v>0</v>
      </c>
      <c r="H115" s="5">
        <v>0</v>
      </c>
    </row>
    <row r="116" spans="1:8" ht="15" customHeight="1" x14ac:dyDescent="0.25">
      <c r="A116" s="2" t="s">
        <v>1740</v>
      </c>
      <c r="B116" s="2" t="s">
        <v>1741</v>
      </c>
      <c r="C116" s="3">
        <v>0</v>
      </c>
      <c r="D116" s="3">
        <v>0</v>
      </c>
      <c r="E116" s="3">
        <v>0</v>
      </c>
      <c r="F116" s="3">
        <f t="shared" si="7"/>
        <v>0</v>
      </c>
      <c r="G116" s="3">
        <v>0</v>
      </c>
      <c r="H116" s="5">
        <v>0</v>
      </c>
    </row>
    <row r="117" spans="1:8" x14ac:dyDescent="0.25">
      <c r="A117" s="2" t="s">
        <v>1742</v>
      </c>
      <c r="B117" s="2" t="s">
        <v>1743</v>
      </c>
      <c r="C117" s="3">
        <v>19976.41</v>
      </c>
      <c r="D117" s="3">
        <v>938.94</v>
      </c>
      <c r="E117" s="3">
        <v>3259.64</v>
      </c>
      <c r="F117" s="3">
        <f t="shared" si="7"/>
        <v>4346.1866666666665</v>
      </c>
      <c r="G117" s="3">
        <v>30000</v>
      </c>
      <c r="H117" s="5">
        <v>30000</v>
      </c>
    </row>
    <row r="118" spans="1:8" ht="24" x14ac:dyDescent="0.25">
      <c r="A118" s="2" t="s">
        <v>1744</v>
      </c>
      <c r="B118" s="2" t="s">
        <v>1745</v>
      </c>
      <c r="C118" s="3">
        <v>-19976.41</v>
      </c>
      <c r="D118" s="3">
        <v>0</v>
      </c>
      <c r="E118" s="3">
        <v>0</v>
      </c>
      <c r="F118" s="3">
        <f t="shared" si="7"/>
        <v>0</v>
      </c>
      <c r="G118" s="3">
        <v>-30000</v>
      </c>
      <c r="H118" s="5">
        <f>G118*1.055</f>
        <v>-31649.999999999996</v>
      </c>
    </row>
    <row r="119" spans="1:8" x14ac:dyDescent="0.25">
      <c r="A119" s="2" t="s">
        <v>1746</v>
      </c>
      <c r="B119" s="2" t="s">
        <v>1747</v>
      </c>
      <c r="C119" s="3">
        <v>80579.81</v>
      </c>
      <c r="D119" s="3">
        <v>55028.54</v>
      </c>
      <c r="E119" s="3">
        <v>68797.33</v>
      </c>
      <c r="F119" s="3">
        <f t="shared" si="7"/>
        <v>91729.773333333345</v>
      </c>
      <c r="G119" s="3">
        <v>180000</v>
      </c>
      <c r="H119" s="5">
        <v>20000</v>
      </c>
    </row>
    <row r="120" spans="1:8" ht="15" customHeight="1" x14ac:dyDescent="0.25">
      <c r="A120" s="2" t="s">
        <v>1748</v>
      </c>
      <c r="B120" s="2" t="s">
        <v>99</v>
      </c>
      <c r="C120" s="3">
        <v>4005.72</v>
      </c>
      <c r="D120" s="3">
        <v>1346.54</v>
      </c>
      <c r="E120" s="3">
        <v>2546.64</v>
      </c>
      <c r="F120" s="3">
        <f t="shared" si="7"/>
        <v>3395.5199999999995</v>
      </c>
      <c r="G120" s="3">
        <v>3900</v>
      </c>
      <c r="H120" s="5">
        <f>Phone!$C$21</f>
        <v>4200</v>
      </c>
    </row>
    <row r="121" spans="1:8" ht="15" customHeight="1" x14ac:dyDescent="0.25">
      <c r="A121" s="2" t="s">
        <v>1749</v>
      </c>
      <c r="B121" s="2" t="s">
        <v>59</v>
      </c>
      <c r="C121" s="3">
        <v>28.99</v>
      </c>
      <c r="D121" s="3">
        <v>169.44</v>
      </c>
      <c r="E121" s="3">
        <v>230.57</v>
      </c>
      <c r="F121" s="3">
        <f t="shared" si="7"/>
        <v>307.42666666666668</v>
      </c>
      <c r="G121" s="3">
        <v>500</v>
      </c>
      <c r="H121" s="5">
        <v>500</v>
      </c>
    </row>
    <row r="122" spans="1:8" ht="15" customHeight="1" x14ac:dyDescent="0.25">
      <c r="A122" s="2" t="s">
        <v>1750</v>
      </c>
      <c r="B122" s="2" t="s">
        <v>17</v>
      </c>
      <c r="C122" s="3">
        <v>0</v>
      </c>
      <c r="D122" s="3">
        <v>0</v>
      </c>
      <c r="E122" s="3">
        <v>0</v>
      </c>
      <c r="F122" s="3">
        <f t="shared" si="7"/>
        <v>0</v>
      </c>
      <c r="G122" s="3">
        <v>2000</v>
      </c>
      <c r="H122" s="5">
        <v>2000</v>
      </c>
    </row>
    <row r="123" spans="1:8" ht="15" customHeight="1" x14ac:dyDescent="0.25">
      <c r="A123" s="2" t="s">
        <v>1751</v>
      </c>
      <c r="B123" s="2" t="s">
        <v>144</v>
      </c>
      <c r="C123" s="3">
        <v>0</v>
      </c>
      <c r="D123" s="3">
        <v>0</v>
      </c>
      <c r="E123" s="3">
        <v>0</v>
      </c>
      <c r="F123" s="3">
        <f t="shared" si="7"/>
        <v>0</v>
      </c>
      <c r="G123" s="3">
        <v>3000</v>
      </c>
      <c r="H123" s="5">
        <v>3000</v>
      </c>
    </row>
    <row r="124" spans="1:8" ht="15" customHeight="1" x14ac:dyDescent="0.25">
      <c r="A124" s="2" t="s">
        <v>1752</v>
      </c>
      <c r="B124" s="2" t="s">
        <v>1753</v>
      </c>
      <c r="C124" s="3">
        <v>17093.580000000002</v>
      </c>
      <c r="D124" s="3">
        <v>13104.19</v>
      </c>
      <c r="E124" s="3">
        <v>24783.84</v>
      </c>
      <c r="F124" s="3">
        <f t="shared" si="7"/>
        <v>33045.120000000003</v>
      </c>
      <c r="G124" s="3">
        <v>27000</v>
      </c>
      <c r="H124" s="5">
        <v>35000</v>
      </c>
    </row>
    <row r="125" spans="1:8" ht="15" customHeight="1" x14ac:dyDescent="0.25">
      <c r="A125" s="2" t="s">
        <v>1754</v>
      </c>
      <c r="B125" s="2" t="s">
        <v>1755</v>
      </c>
      <c r="C125" s="3">
        <v>6675</v>
      </c>
      <c r="D125" s="3">
        <v>438.31</v>
      </c>
      <c r="E125" s="3">
        <v>7227.63</v>
      </c>
      <c r="F125" s="3">
        <f t="shared" si="7"/>
        <v>9636.84</v>
      </c>
      <c r="G125" s="3">
        <v>20000</v>
      </c>
      <c r="H125" s="5">
        <v>20000</v>
      </c>
    </row>
    <row r="126" spans="1:8" ht="15" customHeight="1" x14ac:dyDescent="0.25">
      <c r="A126" s="2" t="s">
        <v>1756</v>
      </c>
      <c r="B126" s="2" t="s">
        <v>1757</v>
      </c>
      <c r="C126" s="3">
        <v>0</v>
      </c>
      <c r="D126" s="3">
        <v>0</v>
      </c>
      <c r="E126" s="3">
        <v>195.66</v>
      </c>
      <c r="F126" s="3">
        <f t="shared" si="7"/>
        <v>260.88</v>
      </c>
      <c r="G126" s="3">
        <v>250</v>
      </c>
      <c r="H126" s="5">
        <v>250</v>
      </c>
    </row>
    <row r="127" spans="1:8" ht="15" customHeight="1" x14ac:dyDescent="0.25">
      <c r="A127" s="2" t="s">
        <v>1758</v>
      </c>
      <c r="B127" s="2" t="s">
        <v>1759</v>
      </c>
      <c r="C127" s="3">
        <v>1892.5</v>
      </c>
      <c r="D127" s="3">
        <v>0</v>
      </c>
      <c r="E127" s="3">
        <v>0</v>
      </c>
      <c r="F127" s="3">
        <f t="shared" si="7"/>
        <v>0</v>
      </c>
      <c r="G127" s="3">
        <v>2500</v>
      </c>
      <c r="H127" s="5">
        <v>2500</v>
      </c>
    </row>
    <row r="128" spans="1:8" ht="15" customHeight="1" x14ac:dyDescent="0.25">
      <c r="A128" s="2" t="s">
        <v>1760</v>
      </c>
      <c r="B128" s="2" t="s">
        <v>64</v>
      </c>
      <c r="C128" s="3">
        <v>649.94000000000005</v>
      </c>
      <c r="D128" s="3">
        <v>592.08000000000004</v>
      </c>
      <c r="E128" s="3">
        <v>705.39</v>
      </c>
      <c r="F128" s="3">
        <f t="shared" si="7"/>
        <v>940.52</v>
      </c>
      <c r="G128" s="3">
        <v>2000</v>
      </c>
      <c r="H128" s="5">
        <v>2000</v>
      </c>
    </row>
    <row r="129" spans="1:9" ht="15" customHeight="1" x14ac:dyDescent="0.25">
      <c r="A129" s="2" t="s">
        <v>1761</v>
      </c>
      <c r="B129" s="2" t="s">
        <v>1762</v>
      </c>
      <c r="C129" s="3">
        <v>5435.57</v>
      </c>
      <c r="D129" s="3">
        <v>2746.94</v>
      </c>
      <c r="E129" s="3">
        <v>5585.02</v>
      </c>
      <c r="F129" s="3">
        <f t="shared" si="7"/>
        <v>7446.6933333333336</v>
      </c>
      <c r="G129" s="3">
        <v>5700</v>
      </c>
      <c r="H129" s="5">
        <v>5700</v>
      </c>
    </row>
    <row r="130" spans="1:9" ht="15" customHeight="1" x14ac:dyDescent="0.25">
      <c r="A130" s="2" t="s">
        <v>1763</v>
      </c>
      <c r="B130" s="2" t="s">
        <v>1303</v>
      </c>
      <c r="C130" s="3">
        <v>25764.9</v>
      </c>
      <c r="D130" s="3">
        <v>9635.68</v>
      </c>
      <c r="E130" s="3">
        <v>18904.080000000002</v>
      </c>
      <c r="F130" s="3">
        <f t="shared" si="7"/>
        <v>25205.440000000002</v>
      </c>
      <c r="G130" s="3">
        <v>20615</v>
      </c>
      <c r="H130" s="5">
        <f>G130*1.05</f>
        <v>21645.75</v>
      </c>
    </row>
    <row r="131" spans="1:9" ht="15" customHeight="1" x14ac:dyDescent="0.25">
      <c r="A131" s="2" t="s">
        <v>1764</v>
      </c>
      <c r="B131" s="2" t="s">
        <v>1765</v>
      </c>
      <c r="C131" s="3">
        <v>148258</v>
      </c>
      <c r="D131" s="3">
        <v>62872.89</v>
      </c>
      <c r="E131" s="3">
        <v>116643</v>
      </c>
      <c r="F131" s="3">
        <f t="shared" si="7"/>
        <v>155524</v>
      </c>
      <c r="G131" s="3">
        <v>116733</v>
      </c>
      <c r="H131" s="5">
        <f>G131*1.05</f>
        <v>122569.65000000001</v>
      </c>
    </row>
    <row r="132" spans="1:9" ht="15" customHeight="1" x14ac:dyDescent="0.25">
      <c r="A132" s="1" t="s">
        <v>1766</v>
      </c>
      <c r="B132" s="1" t="s">
        <v>2</v>
      </c>
      <c r="C132" s="4">
        <v>1029724.43</v>
      </c>
      <c r="D132" s="4">
        <v>496215.67</v>
      </c>
      <c r="E132" s="4">
        <f>SUM(E88:E131)</f>
        <v>778800.19</v>
      </c>
      <c r="F132" s="4">
        <f>SUM(F88:F131)</f>
        <v>1038400.2533333334</v>
      </c>
      <c r="G132" s="6">
        <f>SUM(G88:G131)</f>
        <v>1242187.08</v>
      </c>
      <c r="H132" s="6">
        <f>SUM(H88:H131)</f>
        <v>1202280.1238034051</v>
      </c>
    </row>
    <row r="133" spans="1:9" x14ac:dyDescent="0.25">
      <c r="A133" s="1" t="s">
        <v>2</v>
      </c>
      <c r="B133" s="1" t="s">
        <v>2</v>
      </c>
      <c r="C133" s="1" t="s">
        <v>2</v>
      </c>
      <c r="D133" s="1" t="s">
        <v>2</v>
      </c>
      <c r="E133" s="1"/>
      <c r="F133" s="1"/>
      <c r="G133" s="1" t="s">
        <v>2</v>
      </c>
      <c r="H133" s="1" t="s">
        <v>2</v>
      </c>
    </row>
    <row r="134" spans="1:9" ht="15" customHeight="1" x14ac:dyDescent="0.25">
      <c r="A134" s="2" t="s">
        <v>1767</v>
      </c>
      <c r="B134" s="2" t="s">
        <v>1393</v>
      </c>
      <c r="C134" s="3">
        <v>0</v>
      </c>
      <c r="D134" s="3">
        <v>0</v>
      </c>
      <c r="E134" s="3">
        <v>0</v>
      </c>
      <c r="F134" s="3">
        <f>E134/9*12</f>
        <v>0</v>
      </c>
      <c r="G134" s="3">
        <v>30000</v>
      </c>
      <c r="H134" s="5">
        <v>0</v>
      </c>
    </row>
    <row r="135" spans="1:9" ht="15" customHeight="1" x14ac:dyDescent="0.25">
      <c r="A135" s="2"/>
      <c r="B135" s="2"/>
      <c r="C135" s="3"/>
      <c r="D135" s="3"/>
      <c r="E135" s="3"/>
      <c r="F135" s="3"/>
      <c r="G135" s="3"/>
      <c r="H135" s="5"/>
    </row>
    <row r="136" spans="1:9" ht="15" customHeight="1" x14ac:dyDescent="0.25">
      <c r="A136" s="1" t="s">
        <v>557</v>
      </c>
      <c r="B136" s="1" t="s">
        <v>2</v>
      </c>
    </row>
    <row r="137" spans="1:9" ht="15" customHeight="1" x14ac:dyDescent="0.25">
      <c r="A137" s="2" t="s">
        <v>1768</v>
      </c>
      <c r="B137" s="2" t="s">
        <v>1769</v>
      </c>
      <c r="C137" s="3">
        <v>0</v>
      </c>
      <c r="D137" s="3">
        <v>0</v>
      </c>
      <c r="E137" s="3">
        <v>0</v>
      </c>
      <c r="F137" s="3">
        <f t="shared" ref="F137:F149" si="8">E137/9*12</f>
        <v>0</v>
      </c>
      <c r="G137" s="3">
        <v>0</v>
      </c>
      <c r="H137" s="5">
        <v>0</v>
      </c>
    </row>
    <row r="138" spans="1:9" ht="15" customHeight="1" x14ac:dyDescent="0.25">
      <c r="A138" s="2" t="s">
        <v>1770</v>
      </c>
      <c r="B138" s="2" t="s">
        <v>1771</v>
      </c>
      <c r="C138" s="3">
        <v>0</v>
      </c>
      <c r="D138" s="3">
        <v>0</v>
      </c>
      <c r="E138" s="3">
        <v>0</v>
      </c>
      <c r="F138" s="3">
        <f t="shared" si="8"/>
        <v>0</v>
      </c>
      <c r="G138" s="3">
        <v>0</v>
      </c>
      <c r="H138" s="5">
        <v>0</v>
      </c>
    </row>
    <row r="139" spans="1:9" ht="15" customHeight="1" x14ac:dyDescent="0.25">
      <c r="A139" s="2" t="s">
        <v>1772</v>
      </c>
      <c r="B139" s="2" t="s">
        <v>1426</v>
      </c>
      <c r="C139" s="3">
        <v>0</v>
      </c>
      <c r="D139" s="3">
        <v>0</v>
      </c>
      <c r="E139" s="3">
        <v>0</v>
      </c>
      <c r="F139" s="3">
        <f t="shared" si="8"/>
        <v>0</v>
      </c>
      <c r="G139" s="3">
        <v>0</v>
      </c>
      <c r="H139" s="5">
        <v>0</v>
      </c>
    </row>
    <row r="140" spans="1:9" ht="15" customHeight="1" x14ac:dyDescent="0.25">
      <c r="A140" s="2" t="s">
        <v>1773</v>
      </c>
      <c r="B140" s="2" t="s">
        <v>1774</v>
      </c>
      <c r="C140" s="3">
        <v>0</v>
      </c>
      <c r="D140" s="3">
        <v>16112.75</v>
      </c>
      <c r="E140" s="3">
        <v>44248.11</v>
      </c>
      <c r="F140" s="3">
        <f t="shared" si="8"/>
        <v>58997.48</v>
      </c>
      <c r="G140" s="3">
        <v>3250000</v>
      </c>
      <c r="H140" s="5">
        <v>3500000</v>
      </c>
    </row>
    <row r="141" spans="1:9" ht="15" customHeight="1" x14ac:dyDescent="0.25">
      <c r="A141" s="2" t="s">
        <v>1775</v>
      </c>
      <c r="B141" s="2" t="s">
        <v>1776</v>
      </c>
      <c r="C141" s="3">
        <v>0</v>
      </c>
      <c r="D141" s="3">
        <v>0</v>
      </c>
      <c r="E141" s="3">
        <v>0</v>
      </c>
      <c r="F141" s="3">
        <f t="shared" si="8"/>
        <v>0</v>
      </c>
      <c r="G141" s="3">
        <v>0</v>
      </c>
      <c r="H141" s="5">
        <v>0</v>
      </c>
    </row>
    <row r="142" spans="1:9" ht="15" customHeight="1" x14ac:dyDescent="0.25">
      <c r="A142" s="2" t="s">
        <v>1777</v>
      </c>
      <c r="B142" s="2" t="s">
        <v>1778</v>
      </c>
      <c r="C142" s="3">
        <v>0</v>
      </c>
      <c r="D142" s="3">
        <v>0</v>
      </c>
      <c r="E142" s="3">
        <v>0</v>
      </c>
      <c r="F142" s="3">
        <f t="shared" si="8"/>
        <v>0</v>
      </c>
      <c r="G142" s="3">
        <v>180000</v>
      </c>
      <c r="H142" s="5">
        <v>180000</v>
      </c>
    </row>
    <row r="143" spans="1:9" ht="15" customHeight="1" x14ac:dyDescent="0.25">
      <c r="A143" s="2" t="s">
        <v>1779</v>
      </c>
      <c r="B143" s="2" t="s">
        <v>1432</v>
      </c>
      <c r="C143" s="3">
        <v>0</v>
      </c>
      <c r="D143" s="3">
        <v>0</v>
      </c>
      <c r="E143" s="3">
        <v>0</v>
      </c>
      <c r="F143" s="3">
        <f t="shared" si="8"/>
        <v>0</v>
      </c>
      <c r="G143" s="3">
        <v>510000</v>
      </c>
      <c r="H143" s="5">
        <v>500000</v>
      </c>
      <c r="I143" s="250" t="s">
        <v>4140</v>
      </c>
    </row>
    <row r="144" spans="1:9" x14ac:dyDescent="0.25">
      <c r="A144" s="2" t="s">
        <v>1780</v>
      </c>
      <c r="B144" s="2" t="s">
        <v>1781</v>
      </c>
      <c r="C144" s="3">
        <v>0</v>
      </c>
      <c r="D144" s="3">
        <v>0</v>
      </c>
      <c r="E144" s="3">
        <v>0</v>
      </c>
      <c r="F144" s="3">
        <f t="shared" si="8"/>
        <v>0</v>
      </c>
      <c r="G144" s="3">
        <v>0</v>
      </c>
      <c r="H144" s="5">
        <v>0</v>
      </c>
    </row>
    <row r="145" spans="1:8" x14ac:dyDescent="0.25">
      <c r="A145" s="2" t="s">
        <v>1782</v>
      </c>
      <c r="B145" s="2" t="s">
        <v>1783</v>
      </c>
      <c r="C145" s="3">
        <v>0</v>
      </c>
      <c r="D145" s="3">
        <v>0</v>
      </c>
      <c r="E145" s="3">
        <v>0</v>
      </c>
      <c r="F145" s="3">
        <f t="shared" si="8"/>
        <v>0</v>
      </c>
      <c r="G145" s="3">
        <v>0</v>
      </c>
      <c r="H145" s="5">
        <v>0</v>
      </c>
    </row>
    <row r="146" spans="1:8" x14ac:dyDescent="0.25">
      <c r="A146" s="2" t="s">
        <v>1784</v>
      </c>
      <c r="B146" s="2" t="s">
        <v>1785</v>
      </c>
      <c r="C146" s="3">
        <v>0</v>
      </c>
      <c r="D146" s="3">
        <v>0</v>
      </c>
      <c r="E146" s="3">
        <v>0</v>
      </c>
      <c r="F146" s="3">
        <f t="shared" si="8"/>
        <v>0</v>
      </c>
      <c r="G146" s="3">
        <v>0</v>
      </c>
      <c r="H146" s="5">
        <v>0</v>
      </c>
    </row>
    <row r="147" spans="1:8" x14ac:dyDescent="0.25">
      <c r="A147" s="2" t="s">
        <v>1786</v>
      </c>
      <c r="B147" s="2" t="s">
        <v>1787</v>
      </c>
      <c r="C147" s="3">
        <v>0</v>
      </c>
      <c r="D147" s="3">
        <v>0</v>
      </c>
      <c r="E147" s="3">
        <v>0</v>
      </c>
      <c r="F147" s="3">
        <f t="shared" si="8"/>
        <v>0</v>
      </c>
      <c r="G147" s="3">
        <v>0</v>
      </c>
      <c r="H147" s="5">
        <v>0</v>
      </c>
    </row>
    <row r="148" spans="1:8" ht="15" customHeight="1" x14ac:dyDescent="0.25">
      <c r="A148" s="2" t="s">
        <v>1788</v>
      </c>
      <c r="B148" s="2" t="s">
        <v>1789</v>
      </c>
      <c r="C148" s="3">
        <v>0</v>
      </c>
      <c r="D148" s="3">
        <v>0</v>
      </c>
      <c r="E148" s="3">
        <v>0</v>
      </c>
      <c r="F148" s="3">
        <f t="shared" si="8"/>
        <v>0</v>
      </c>
      <c r="G148" s="3">
        <v>0</v>
      </c>
      <c r="H148" s="5">
        <v>0</v>
      </c>
    </row>
    <row r="149" spans="1:8" ht="15" customHeight="1" x14ac:dyDescent="0.25">
      <c r="A149" s="2" t="s">
        <v>1790</v>
      </c>
      <c r="B149" s="2" t="s">
        <v>1791</v>
      </c>
      <c r="C149" s="3">
        <v>0</v>
      </c>
      <c r="D149" s="3">
        <v>0</v>
      </c>
      <c r="E149" s="3">
        <v>2431.33</v>
      </c>
      <c r="F149" s="3">
        <f t="shared" si="8"/>
        <v>3241.7733333333335</v>
      </c>
      <c r="G149" s="3">
        <v>1250000</v>
      </c>
      <c r="H149" s="5">
        <v>1250000</v>
      </c>
    </row>
    <row r="150" spans="1:8" ht="15" customHeight="1" x14ac:dyDescent="0.25">
      <c r="A150" s="1" t="s">
        <v>560</v>
      </c>
      <c r="B150" s="1" t="s">
        <v>2</v>
      </c>
      <c r="C150" s="4">
        <v>0</v>
      </c>
      <c r="D150" s="4">
        <v>16112.75</v>
      </c>
      <c r="E150" s="4">
        <f>SUM(E137:E149)</f>
        <v>46679.44</v>
      </c>
      <c r="F150" s="4">
        <f>SUM(F137:F149)</f>
        <v>62239.253333333334</v>
      </c>
      <c r="G150" s="6">
        <f>SUM(G137:G149)</f>
        <v>5190000</v>
      </c>
      <c r="H150" s="6">
        <f>SUM(H137:H149)</f>
        <v>5430000</v>
      </c>
    </row>
    <row r="151" spans="1:8" x14ac:dyDescent="0.25">
      <c r="A151" s="1" t="s">
        <v>2</v>
      </c>
      <c r="B151" s="1" t="s">
        <v>2</v>
      </c>
      <c r="C151" s="1" t="s">
        <v>2</v>
      </c>
      <c r="D151" s="1" t="s">
        <v>2</v>
      </c>
      <c r="E151" s="1"/>
      <c r="F151" s="1"/>
      <c r="G151" s="1" t="s">
        <v>2</v>
      </c>
      <c r="H151" s="1" t="s">
        <v>2</v>
      </c>
    </row>
    <row r="152" spans="1:8" ht="15" customHeight="1" x14ac:dyDescent="0.25">
      <c r="A152" s="2" t="s">
        <v>1792</v>
      </c>
      <c r="B152" s="2" t="s">
        <v>1793</v>
      </c>
      <c r="C152" s="3">
        <v>101517.96</v>
      </c>
      <c r="D152" s="3">
        <v>1122.33</v>
      </c>
      <c r="E152" s="3">
        <v>4420.82</v>
      </c>
      <c r="F152" s="3">
        <f t="shared" ref="F152:F159" si="9">E152/9*12</f>
        <v>5894.4266666666663</v>
      </c>
      <c r="G152" s="3">
        <v>0</v>
      </c>
      <c r="H152" s="5">
        <v>0</v>
      </c>
    </row>
    <row r="153" spans="1:8" ht="15" customHeight="1" x14ac:dyDescent="0.25">
      <c r="A153" s="2" t="s">
        <v>1794</v>
      </c>
      <c r="B153" s="2" t="s">
        <v>1795</v>
      </c>
      <c r="C153" s="3">
        <v>0</v>
      </c>
      <c r="D153" s="3">
        <v>0</v>
      </c>
      <c r="E153" s="3">
        <v>0</v>
      </c>
      <c r="F153" s="3">
        <f t="shared" si="9"/>
        <v>0</v>
      </c>
      <c r="G153" s="3">
        <v>0</v>
      </c>
      <c r="H153" s="5">
        <v>0</v>
      </c>
    </row>
    <row r="154" spans="1:8" x14ac:dyDescent="0.25">
      <c r="A154" s="2" t="s">
        <v>1796</v>
      </c>
      <c r="B154" s="2" t="s">
        <v>1797</v>
      </c>
      <c r="C154" s="3">
        <v>0</v>
      </c>
      <c r="D154" s="3">
        <v>0</v>
      </c>
      <c r="E154" s="3">
        <v>0</v>
      </c>
      <c r="F154" s="3">
        <f t="shared" si="9"/>
        <v>0</v>
      </c>
      <c r="G154" s="3">
        <v>0</v>
      </c>
      <c r="H154" s="5">
        <v>0</v>
      </c>
    </row>
    <row r="155" spans="1:8" x14ac:dyDescent="0.25">
      <c r="A155" s="2" t="s">
        <v>1798</v>
      </c>
      <c r="B155" s="2" t="s">
        <v>1799</v>
      </c>
      <c r="C155" s="3">
        <v>0</v>
      </c>
      <c r="D155" s="3">
        <v>0</v>
      </c>
      <c r="E155" s="3">
        <v>0</v>
      </c>
      <c r="F155" s="3">
        <f t="shared" si="9"/>
        <v>0</v>
      </c>
      <c r="G155" s="3">
        <v>0</v>
      </c>
      <c r="H155" s="5">
        <v>0</v>
      </c>
    </row>
    <row r="156" spans="1:8" ht="15" customHeight="1" x14ac:dyDescent="0.25">
      <c r="A156" s="2" t="s">
        <v>1800</v>
      </c>
      <c r="B156" s="2" t="s">
        <v>1769</v>
      </c>
      <c r="C156" s="3">
        <v>13020.76</v>
      </c>
      <c r="D156" s="3">
        <v>1157.1199999999999</v>
      </c>
      <c r="E156" s="3">
        <v>1186.23</v>
      </c>
      <c r="F156" s="3">
        <f t="shared" si="9"/>
        <v>1581.64</v>
      </c>
      <c r="G156" s="3">
        <v>0</v>
      </c>
      <c r="H156" s="5">
        <v>7500</v>
      </c>
    </row>
    <row r="157" spans="1:8" ht="15" customHeight="1" x14ac:dyDescent="0.25">
      <c r="A157" s="2" t="s">
        <v>1801</v>
      </c>
      <c r="B157" s="2" t="s">
        <v>1802</v>
      </c>
      <c r="C157" s="3">
        <v>7167.36</v>
      </c>
      <c r="D157" s="3">
        <v>8802.83</v>
      </c>
      <c r="E157" s="3">
        <v>11106.09</v>
      </c>
      <c r="F157" s="3">
        <f t="shared" si="9"/>
        <v>14808.119999999999</v>
      </c>
      <c r="G157" s="3">
        <v>4000</v>
      </c>
      <c r="H157" s="5">
        <v>7500</v>
      </c>
    </row>
    <row r="158" spans="1:8" ht="15" customHeight="1" x14ac:dyDescent="0.25">
      <c r="A158" s="2" t="s">
        <v>1803</v>
      </c>
      <c r="B158" s="2" t="s">
        <v>1434</v>
      </c>
      <c r="C158" s="3">
        <v>5147.79</v>
      </c>
      <c r="D158" s="3">
        <v>7445.22</v>
      </c>
      <c r="E158" s="3">
        <v>11635.08</v>
      </c>
      <c r="F158" s="3">
        <f t="shared" si="9"/>
        <v>15513.439999999999</v>
      </c>
      <c r="G158" s="3">
        <v>0</v>
      </c>
      <c r="H158" s="5">
        <v>12500</v>
      </c>
    </row>
    <row r="159" spans="1:8" ht="15" customHeight="1" x14ac:dyDescent="0.25">
      <c r="A159" s="2" t="s">
        <v>1804</v>
      </c>
      <c r="B159" s="2" t="s">
        <v>866</v>
      </c>
      <c r="C159" s="3">
        <v>89849.15</v>
      </c>
      <c r="D159" s="3">
        <v>104889.89</v>
      </c>
      <c r="E159" s="3">
        <v>208534.57</v>
      </c>
      <c r="F159" s="3">
        <f t="shared" si="9"/>
        <v>278046.09333333332</v>
      </c>
      <c r="G159" s="3">
        <v>120000</v>
      </c>
      <c r="H159" s="5">
        <v>50000</v>
      </c>
    </row>
    <row r="160" spans="1:8" x14ac:dyDescent="0.25">
      <c r="A160" s="2" t="s">
        <v>2</v>
      </c>
      <c r="B160" s="2" t="s">
        <v>2</v>
      </c>
      <c r="C160" s="2" t="s">
        <v>2</v>
      </c>
      <c r="D160" s="2" t="s">
        <v>2</v>
      </c>
      <c r="E160" s="2"/>
      <c r="F160" s="2"/>
      <c r="G160" s="2" t="s">
        <v>2</v>
      </c>
      <c r="H160" s="2" t="s">
        <v>2</v>
      </c>
    </row>
    <row r="161" spans="1:9" ht="15" customHeight="1" x14ac:dyDescent="0.25">
      <c r="A161" s="1" t="s">
        <v>706</v>
      </c>
      <c r="B161" s="1" t="s">
        <v>2</v>
      </c>
    </row>
    <row r="162" spans="1:9" x14ac:dyDescent="0.25">
      <c r="A162" s="109" t="s">
        <v>1805</v>
      </c>
      <c r="B162" s="109" t="s">
        <v>1806</v>
      </c>
      <c r="C162" s="110">
        <v>39979</v>
      </c>
      <c r="D162" s="110">
        <v>0</v>
      </c>
      <c r="E162" s="110">
        <v>7056.25</v>
      </c>
      <c r="F162" s="110">
        <v>39113</v>
      </c>
      <c r="G162" s="110">
        <v>39113</v>
      </c>
      <c r="H162" s="110">
        <f>Transfers!$C$64</f>
        <v>45000</v>
      </c>
      <c r="I162" s="253"/>
    </row>
    <row r="163" spans="1:9" ht="15" customHeight="1" x14ac:dyDescent="0.25">
      <c r="A163" s="109" t="s">
        <v>1807</v>
      </c>
      <c r="B163" s="109" t="s">
        <v>1808</v>
      </c>
      <c r="C163" s="110">
        <v>0</v>
      </c>
      <c r="D163" s="110">
        <v>0</v>
      </c>
      <c r="E163" s="110">
        <v>0</v>
      </c>
      <c r="F163" s="110">
        <v>0</v>
      </c>
      <c r="G163" s="110">
        <v>10000</v>
      </c>
      <c r="H163" s="110">
        <f>Transfers!$C$152</f>
        <v>10000</v>
      </c>
      <c r="I163" s="253"/>
    </row>
    <row r="164" spans="1:9" ht="15" customHeight="1" x14ac:dyDescent="0.25">
      <c r="A164" s="109" t="s">
        <v>1809</v>
      </c>
      <c r="B164" s="109" t="s">
        <v>1810</v>
      </c>
      <c r="C164" s="110">
        <v>0</v>
      </c>
      <c r="D164" s="110">
        <v>0</v>
      </c>
      <c r="E164" s="110">
        <v>0</v>
      </c>
      <c r="F164" s="110">
        <v>0</v>
      </c>
      <c r="G164" s="110">
        <v>40000</v>
      </c>
      <c r="H164" s="110">
        <f>Transfers!$C$153</f>
        <v>40000</v>
      </c>
      <c r="I164" s="253"/>
    </row>
    <row r="165" spans="1:9" ht="15" customHeight="1" x14ac:dyDescent="0.25">
      <c r="A165" s="109" t="s">
        <v>1811</v>
      </c>
      <c r="B165" s="109" t="s">
        <v>1031</v>
      </c>
      <c r="C165" s="110">
        <v>0</v>
      </c>
      <c r="D165" s="110">
        <v>0</v>
      </c>
      <c r="E165" s="110">
        <v>0</v>
      </c>
      <c r="F165" s="110">
        <v>0</v>
      </c>
      <c r="G165" s="110">
        <v>5000</v>
      </c>
      <c r="H165" s="110">
        <f>Transfers!$C$154</f>
        <v>5000</v>
      </c>
      <c r="I165" s="253"/>
    </row>
    <row r="166" spans="1:9" ht="15" customHeight="1" x14ac:dyDescent="0.25">
      <c r="A166" s="109" t="s">
        <v>1812</v>
      </c>
      <c r="B166" s="109" t="s">
        <v>1033</v>
      </c>
      <c r="C166" s="110">
        <v>0</v>
      </c>
      <c r="D166" s="110">
        <v>0</v>
      </c>
      <c r="E166" s="110">
        <v>0</v>
      </c>
      <c r="F166" s="110">
        <v>0</v>
      </c>
      <c r="G166" s="110">
        <v>47500</v>
      </c>
      <c r="H166" s="110">
        <f>Transfers!$C$155</f>
        <v>0</v>
      </c>
      <c r="I166" s="253"/>
    </row>
    <row r="167" spans="1:9" x14ac:dyDescent="0.25">
      <c r="A167" s="109" t="s">
        <v>1813</v>
      </c>
      <c r="B167" s="109" t="s">
        <v>1035</v>
      </c>
      <c r="C167" s="110">
        <v>0</v>
      </c>
      <c r="D167" s="110">
        <v>0</v>
      </c>
      <c r="E167" s="110">
        <v>0</v>
      </c>
      <c r="F167" s="110">
        <v>0</v>
      </c>
      <c r="G167" s="110">
        <v>17500</v>
      </c>
      <c r="H167" s="110">
        <f>Transfers!$C$156</f>
        <v>17500</v>
      </c>
      <c r="I167" s="253"/>
    </row>
    <row r="168" spans="1:9" ht="15" customHeight="1" x14ac:dyDescent="0.25">
      <c r="A168" s="109" t="s">
        <v>1814</v>
      </c>
      <c r="B168" s="109" t="s">
        <v>1037</v>
      </c>
      <c r="C168" s="110">
        <v>0</v>
      </c>
      <c r="D168" s="110">
        <v>0</v>
      </c>
      <c r="E168" s="110">
        <v>0</v>
      </c>
      <c r="F168" s="110">
        <v>0</v>
      </c>
      <c r="G168" s="110">
        <v>1750</v>
      </c>
      <c r="H168" s="110">
        <f>Transfers!$C$157</f>
        <v>1750</v>
      </c>
      <c r="I168" s="297"/>
    </row>
    <row r="169" spans="1:9" x14ac:dyDescent="0.25">
      <c r="A169" s="109" t="s">
        <v>1815</v>
      </c>
      <c r="B169" s="109" t="s">
        <v>1009</v>
      </c>
      <c r="C169" s="110">
        <v>23850.639999999999</v>
      </c>
      <c r="D169" s="110">
        <v>0</v>
      </c>
      <c r="E169" s="110">
        <v>0</v>
      </c>
      <c r="F169" s="110">
        <v>0</v>
      </c>
      <c r="G169" s="110">
        <v>0</v>
      </c>
      <c r="H169" s="110">
        <f>Transfers!$C$158</f>
        <v>0</v>
      </c>
      <c r="I169" s="253"/>
    </row>
    <row r="170" spans="1:9" ht="15" customHeight="1" x14ac:dyDescent="0.25">
      <c r="A170" s="109" t="s">
        <v>1816</v>
      </c>
      <c r="B170" s="109" t="s">
        <v>1015</v>
      </c>
      <c r="C170" s="110">
        <v>8581.11</v>
      </c>
      <c r="D170" s="110">
        <v>0</v>
      </c>
      <c r="E170" s="110">
        <v>0</v>
      </c>
      <c r="F170" s="110">
        <v>0</v>
      </c>
      <c r="G170" s="110">
        <v>0</v>
      </c>
      <c r="H170" s="110">
        <f>Transfers!$C$159</f>
        <v>0</v>
      </c>
      <c r="I170" s="253"/>
    </row>
    <row r="171" spans="1:9" ht="15" customHeight="1" x14ac:dyDescent="0.25">
      <c r="A171" s="109" t="s">
        <v>1817</v>
      </c>
      <c r="B171" s="109" t="s">
        <v>1636</v>
      </c>
      <c r="C171" s="110">
        <v>58284.73</v>
      </c>
      <c r="D171" s="110">
        <v>0</v>
      </c>
      <c r="E171" s="110">
        <v>0</v>
      </c>
      <c r="F171" s="110">
        <v>0</v>
      </c>
      <c r="G171" s="110">
        <v>0</v>
      </c>
      <c r="H171" s="110">
        <f>Transfers!$C$160</f>
        <v>0</v>
      </c>
      <c r="I171" s="253"/>
    </row>
    <row r="172" spans="1:9" ht="15" customHeight="1" x14ac:dyDescent="0.25">
      <c r="A172" s="109" t="s">
        <v>1818</v>
      </c>
      <c r="B172" s="109" t="s">
        <v>1019</v>
      </c>
      <c r="C172" s="110">
        <v>39114.050000000003</v>
      </c>
      <c r="D172" s="110">
        <v>0</v>
      </c>
      <c r="E172" s="110">
        <v>0</v>
      </c>
      <c r="F172" s="110">
        <v>0</v>
      </c>
      <c r="G172" s="110">
        <v>0</v>
      </c>
      <c r="H172" s="110">
        <f>Transfers!$C$161</f>
        <v>0</v>
      </c>
      <c r="I172" s="253"/>
    </row>
    <row r="173" spans="1:9" ht="15" customHeight="1" x14ac:dyDescent="0.25">
      <c r="A173" s="109" t="s">
        <v>1819</v>
      </c>
      <c r="B173" s="109" t="s">
        <v>1021</v>
      </c>
      <c r="C173" s="110">
        <v>37161.25</v>
      </c>
      <c r="D173" s="110">
        <v>0</v>
      </c>
      <c r="E173" s="110">
        <v>0</v>
      </c>
      <c r="F173" s="110">
        <v>0</v>
      </c>
      <c r="G173" s="110">
        <v>0</v>
      </c>
      <c r="H173" s="110">
        <f>Transfers!$C$162</f>
        <v>0</v>
      </c>
      <c r="I173" s="253"/>
    </row>
    <row r="174" spans="1:9" ht="15" customHeight="1" x14ac:dyDescent="0.25">
      <c r="A174" s="109" t="s">
        <v>1820</v>
      </c>
      <c r="B174" s="109" t="s">
        <v>1821</v>
      </c>
      <c r="C174" s="110">
        <v>24963.16</v>
      </c>
      <c r="D174" s="110">
        <v>0</v>
      </c>
      <c r="E174" s="110">
        <v>0</v>
      </c>
      <c r="F174" s="110">
        <v>0</v>
      </c>
      <c r="G174" s="110">
        <v>0</v>
      </c>
      <c r="H174" s="110">
        <f>Transfers!$C$170</f>
        <v>0</v>
      </c>
      <c r="I174" s="253"/>
    </row>
    <row r="175" spans="1:9" ht="15" customHeight="1" x14ac:dyDescent="0.25">
      <c r="A175" s="109" t="s">
        <v>1822</v>
      </c>
      <c r="B175" s="109" t="s">
        <v>1823</v>
      </c>
      <c r="C175" s="110">
        <v>31645.87</v>
      </c>
      <c r="D175" s="110">
        <v>0</v>
      </c>
      <c r="E175" s="110">
        <v>31569.06</v>
      </c>
      <c r="F175" s="110">
        <v>31570</v>
      </c>
      <c r="G175" s="110">
        <v>31570</v>
      </c>
      <c r="H175" s="110">
        <f>Transfers!$C$69</f>
        <v>30000</v>
      </c>
      <c r="I175" s="253"/>
    </row>
    <row r="176" spans="1:9" ht="15" customHeight="1" x14ac:dyDescent="0.25">
      <c r="A176" s="109" t="s">
        <v>1824</v>
      </c>
      <c r="B176" s="109" t="s">
        <v>1459</v>
      </c>
      <c r="C176" s="110">
        <v>10431.99</v>
      </c>
      <c r="D176" s="110">
        <v>0</v>
      </c>
      <c r="E176" s="110">
        <v>7381.48</v>
      </c>
      <c r="F176" s="110">
        <v>8116</v>
      </c>
      <c r="G176" s="110">
        <v>8116</v>
      </c>
      <c r="H176" s="110">
        <f>Transfers!$C$70</f>
        <v>9000</v>
      </c>
      <c r="I176" s="253"/>
    </row>
    <row r="177" spans="1:9" ht="15" customHeight="1" x14ac:dyDescent="0.25">
      <c r="A177" s="109" t="s">
        <v>3570</v>
      </c>
      <c r="B177" s="109" t="s">
        <v>3581</v>
      </c>
      <c r="C177" s="110">
        <v>0</v>
      </c>
      <c r="D177" s="110">
        <v>0</v>
      </c>
      <c r="E177" s="110">
        <v>0</v>
      </c>
      <c r="F177" s="110">
        <v>0</v>
      </c>
      <c r="G177" s="110">
        <v>0</v>
      </c>
      <c r="H177" s="110">
        <f>Transfers!$C$163</f>
        <v>62500</v>
      </c>
      <c r="I177" s="253"/>
    </row>
    <row r="178" spans="1:9" ht="15" customHeight="1" x14ac:dyDescent="0.25">
      <c r="A178" s="109" t="s">
        <v>3570</v>
      </c>
      <c r="B178" s="109" t="s">
        <v>3584</v>
      </c>
      <c r="C178" s="110">
        <v>0</v>
      </c>
      <c r="D178" s="110">
        <v>0</v>
      </c>
      <c r="E178" s="110">
        <v>0</v>
      </c>
      <c r="F178" s="110">
        <v>0</v>
      </c>
      <c r="G178" s="110">
        <v>0</v>
      </c>
      <c r="H178" s="110">
        <f>Transfers!$C$164</f>
        <v>12500</v>
      </c>
      <c r="I178" s="253"/>
    </row>
    <row r="179" spans="1:9" ht="15" customHeight="1" x14ac:dyDescent="0.25">
      <c r="A179" s="1" t="s">
        <v>737</v>
      </c>
      <c r="B179" s="1" t="s">
        <v>2</v>
      </c>
      <c r="C179" s="4">
        <v>274011.8</v>
      </c>
      <c r="D179" s="4">
        <v>0</v>
      </c>
      <c r="E179" s="4">
        <f>SUM(E162:E178)</f>
        <v>46006.789999999994</v>
      </c>
      <c r="F179" s="4">
        <f>SUM(F162:F178)</f>
        <v>78799</v>
      </c>
      <c r="G179" s="4">
        <f>SUM(G162:G178)</f>
        <v>200549</v>
      </c>
      <c r="H179" s="4">
        <f>SUM(H162:H178)</f>
        <v>233250</v>
      </c>
    </row>
    <row r="180" spans="1:9" x14ac:dyDescent="0.25">
      <c r="A180" s="1" t="s">
        <v>2</v>
      </c>
      <c r="B180" s="1" t="s">
        <v>2</v>
      </c>
      <c r="C180" s="1" t="s">
        <v>2</v>
      </c>
      <c r="D180" s="1" t="s">
        <v>2</v>
      </c>
      <c r="E180" s="1"/>
      <c r="F180" s="1"/>
      <c r="G180" s="1" t="s">
        <v>2</v>
      </c>
      <c r="H180" s="1" t="s">
        <v>2</v>
      </c>
    </row>
    <row r="181" spans="1:9" ht="15" customHeight="1" x14ac:dyDescent="0.25">
      <c r="A181" s="1" t="s">
        <v>698</v>
      </c>
      <c r="B181" s="1" t="s">
        <v>2</v>
      </c>
    </row>
    <row r="182" spans="1:9" ht="15" customHeight="1" x14ac:dyDescent="0.25">
      <c r="A182" s="2" t="s">
        <v>1825</v>
      </c>
      <c r="B182" s="2" t="s">
        <v>700</v>
      </c>
      <c r="C182" s="3">
        <v>0</v>
      </c>
      <c r="D182" s="3">
        <v>0</v>
      </c>
      <c r="E182" s="3">
        <v>0</v>
      </c>
      <c r="F182" s="3">
        <f>E182/9*12</f>
        <v>0</v>
      </c>
      <c r="G182" s="3">
        <v>0</v>
      </c>
      <c r="H182" s="5">
        <v>0</v>
      </c>
    </row>
    <row r="183" spans="1:9" ht="15" customHeight="1" x14ac:dyDescent="0.25">
      <c r="A183" s="2" t="s">
        <v>1826</v>
      </c>
      <c r="B183" s="2" t="s">
        <v>704</v>
      </c>
      <c r="C183" s="3">
        <v>1454.36</v>
      </c>
      <c r="D183" s="3">
        <v>0</v>
      </c>
      <c r="E183" s="3">
        <v>0</v>
      </c>
      <c r="F183" s="3">
        <f>E183/9*12</f>
        <v>0</v>
      </c>
      <c r="G183" s="3">
        <v>0</v>
      </c>
      <c r="H183" s="5">
        <v>0</v>
      </c>
    </row>
    <row r="184" spans="1:9" ht="15" customHeight="1" x14ac:dyDescent="0.25">
      <c r="A184" s="1" t="s">
        <v>705</v>
      </c>
      <c r="B184" s="1" t="s">
        <v>2</v>
      </c>
      <c r="C184" s="4">
        <v>1454.36</v>
      </c>
      <c r="D184" s="4">
        <v>0</v>
      </c>
      <c r="E184" s="4">
        <f>E182+E183</f>
        <v>0</v>
      </c>
      <c r="F184" s="4">
        <f>F182+F183</f>
        <v>0</v>
      </c>
      <c r="G184" s="6">
        <f>SUM(G182:G183)</f>
        <v>0</v>
      </c>
      <c r="H184" s="6">
        <f>SUM(H182:H183)</f>
        <v>0</v>
      </c>
    </row>
    <row r="185" spans="1:9" x14ac:dyDescent="0.25">
      <c r="A185" s="1" t="s">
        <v>2</v>
      </c>
      <c r="B185" s="1" t="s">
        <v>2</v>
      </c>
      <c r="C185" s="1" t="s">
        <v>2</v>
      </c>
      <c r="D185" s="1" t="s">
        <v>2</v>
      </c>
      <c r="E185" s="1"/>
      <c r="F185" s="1"/>
      <c r="G185" s="1" t="s">
        <v>2</v>
      </c>
      <c r="H185" s="1" t="s">
        <v>2</v>
      </c>
    </row>
    <row r="186" spans="1:9" ht="15" customHeight="1" x14ac:dyDescent="0.25">
      <c r="A186" s="1" t="s">
        <v>1827</v>
      </c>
      <c r="B186" s="1" t="s">
        <v>2</v>
      </c>
      <c r="C186" s="4">
        <v>1521893.61</v>
      </c>
      <c r="D186" s="4">
        <v>635745.81000000006</v>
      </c>
      <c r="E186" s="4">
        <f>E132+E134+E150+SUM(E152:E159)+E179+E184</f>
        <v>1108369.21</v>
      </c>
      <c r="F186" s="4">
        <f>F132+F134+F150+SUM(F152:F159)+F179+F184</f>
        <v>1495282.2266666668</v>
      </c>
      <c r="G186" s="6">
        <f>G184+G179+SUM(G152:G159)+G150+G134+G132</f>
        <v>6786736.0800000001</v>
      </c>
      <c r="H186" s="6">
        <f>H184+H179+SUM(H152:H159)+H150+H134+H132</f>
        <v>6943030.1238034051</v>
      </c>
    </row>
    <row r="187" spans="1:9" ht="15" customHeight="1" x14ac:dyDescent="0.25">
      <c r="A187" s="291" t="s">
        <v>3088</v>
      </c>
      <c r="B187" s="291"/>
      <c r="C187" s="294">
        <f t="shared" ref="C187:H187" si="10">C7+C84-C186</f>
        <v>1971194.3800000001</v>
      </c>
      <c r="D187" s="294">
        <f t="shared" si="10"/>
        <v>2269936.1599999997</v>
      </c>
      <c r="E187" s="294">
        <f t="shared" si="10"/>
        <v>3404245.5100000007</v>
      </c>
      <c r="F187" s="294">
        <f t="shared" si="10"/>
        <v>3864472.6066666665</v>
      </c>
      <c r="G187" s="294">
        <f t="shared" si="10"/>
        <v>1898686.2999999989</v>
      </c>
      <c r="H187" s="294">
        <f t="shared" si="10"/>
        <v>964495.13286326174</v>
      </c>
      <c r="I187" s="291"/>
    </row>
    <row r="188" spans="1:9" x14ac:dyDescent="0.25">
      <c r="A188" s="1" t="s">
        <v>2</v>
      </c>
      <c r="B188" s="1" t="s">
        <v>2</v>
      </c>
      <c r="C188" s="1" t="s">
        <v>2</v>
      </c>
      <c r="D188" s="1" t="s">
        <v>2</v>
      </c>
      <c r="E188" s="1"/>
      <c r="F188" s="1"/>
      <c r="G188" s="1" t="s">
        <v>2</v>
      </c>
      <c r="H188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728F1-FD0F-4016-8C45-633C9C65CC64}">
  <sheetPr>
    <tabColor rgb="FF92D050"/>
    <pageSetUpPr fitToPage="1"/>
  </sheetPr>
  <dimension ref="A1:M47"/>
  <sheetViews>
    <sheetView showGridLines="0" zoomScaleNormal="100" workbookViewId="0">
      <pane ySplit="5" topLeftCell="A33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3996</v>
      </c>
      <c r="B3" s="329"/>
      <c r="C3" s="329"/>
      <c r="D3" s="329"/>
      <c r="E3" s="329"/>
      <c r="F3" s="329"/>
      <c r="G3" s="329"/>
      <c r="H3" s="329"/>
      <c r="I3" s="329"/>
    </row>
    <row r="4" spans="1:13" ht="18" customHeight="1" x14ac:dyDescent="0.5">
      <c r="A4" s="8"/>
      <c r="H4" s="241">
        <f>H7-F46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 t="s">
        <v>1146</v>
      </c>
      <c r="B6" s="1" t="s">
        <v>2</v>
      </c>
    </row>
    <row r="7" spans="1:13" ht="15" customHeight="1" x14ac:dyDescent="0.25">
      <c r="A7" s="291" t="s">
        <v>3089</v>
      </c>
      <c r="B7" s="291"/>
      <c r="C7" s="294">
        <v>22257.37</v>
      </c>
      <c r="D7" s="294">
        <v>22257.38</v>
      </c>
      <c r="E7" s="294">
        <v>22257.38</v>
      </c>
      <c r="F7" s="294">
        <v>22257.38</v>
      </c>
      <c r="G7" s="294">
        <v>22257.38</v>
      </c>
      <c r="H7" s="294">
        <f>F46</f>
        <v>22259.380000000005</v>
      </c>
      <c r="I7" s="291"/>
    </row>
    <row r="8" spans="1:13" x14ac:dyDescent="0.25">
      <c r="A8" s="23" t="s">
        <v>1828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2175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23" t="s">
        <v>2176</v>
      </c>
      <c r="B11" s="23" t="s">
        <v>2</v>
      </c>
      <c r="C11" s="29"/>
      <c r="D11" s="29"/>
      <c r="E11" s="29"/>
      <c r="F11" s="29"/>
      <c r="G11" s="29"/>
      <c r="H11" s="29"/>
      <c r="I11" s="29"/>
    </row>
    <row r="12" spans="1:13" x14ac:dyDescent="0.25">
      <c r="A12" s="30" t="s">
        <v>3090</v>
      </c>
      <c r="B12" s="30" t="s">
        <v>2409</v>
      </c>
      <c r="C12" s="31">
        <v>0</v>
      </c>
      <c r="D12" s="31">
        <v>0</v>
      </c>
      <c r="E12" s="31">
        <v>0</v>
      </c>
      <c r="F12" s="31">
        <f>E12/9*12</f>
        <v>0</v>
      </c>
      <c r="G12" s="31">
        <v>0</v>
      </c>
      <c r="H12" s="31">
        <v>0</v>
      </c>
      <c r="I12" s="29"/>
    </row>
    <row r="13" spans="1:13" x14ac:dyDescent="0.25">
      <c r="A13" s="30" t="s">
        <v>3091</v>
      </c>
      <c r="B13" s="30" t="s">
        <v>2703</v>
      </c>
      <c r="C13" s="31">
        <v>0</v>
      </c>
      <c r="D13" s="31">
        <v>0</v>
      </c>
      <c r="E13" s="31">
        <v>0</v>
      </c>
      <c r="F13" s="31">
        <f>E13/9*12</f>
        <v>0</v>
      </c>
      <c r="G13" s="31">
        <v>0</v>
      </c>
      <c r="H13" s="31">
        <v>0</v>
      </c>
      <c r="I13" s="29"/>
    </row>
    <row r="14" spans="1:13" ht="24" x14ac:dyDescent="0.25">
      <c r="A14" s="23" t="s">
        <v>2179</v>
      </c>
      <c r="B14" s="23" t="s">
        <v>2</v>
      </c>
      <c r="C14" s="32">
        <v>0</v>
      </c>
      <c r="D14" s="32">
        <v>0</v>
      </c>
      <c r="E14" s="32">
        <f>E12+E13</f>
        <v>0</v>
      </c>
      <c r="F14" s="32">
        <f>F12+F13</f>
        <v>0</v>
      </c>
      <c r="G14" s="32">
        <f>SUM(G12:G13)</f>
        <v>0</v>
      </c>
      <c r="H14" s="32">
        <f>SUM(H12:H13)</f>
        <v>0</v>
      </c>
      <c r="I14" s="29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29"/>
    </row>
    <row r="16" spans="1:13" ht="24" x14ac:dyDescent="0.25">
      <c r="A16" s="23" t="s">
        <v>2180</v>
      </c>
      <c r="B16" s="23" t="s">
        <v>2</v>
      </c>
      <c r="C16" s="32">
        <v>0</v>
      </c>
      <c r="D16" s="32">
        <v>0</v>
      </c>
      <c r="E16" s="32">
        <f>E14</f>
        <v>0</v>
      </c>
      <c r="F16" s="32">
        <f>F14</f>
        <v>0</v>
      </c>
      <c r="G16" s="32">
        <f>G14</f>
        <v>0</v>
      </c>
      <c r="H16" s="32">
        <f>H14</f>
        <v>0</v>
      </c>
      <c r="I16" s="29"/>
    </row>
    <row r="17" spans="1:9" x14ac:dyDescent="0.25">
      <c r="A17" s="23" t="s">
        <v>2</v>
      </c>
      <c r="B17" s="23" t="s">
        <v>2</v>
      </c>
      <c r="C17" s="23" t="s">
        <v>2</v>
      </c>
      <c r="D17" s="23" t="s">
        <v>2</v>
      </c>
      <c r="E17" s="23"/>
      <c r="F17" s="23"/>
      <c r="G17" s="23" t="s">
        <v>2</v>
      </c>
      <c r="H17" s="23" t="s">
        <v>2</v>
      </c>
      <c r="I17" s="29"/>
    </row>
    <row r="18" spans="1:9" x14ac:dyDescent="0.25">
      <c r="A18" s="23" t="s">
        <v>2553</v>
      </c>
      <c r="B18" s="23" t="s">
        <v>2</v>
      </c>
      <c r="C18" s="29"/>
      <c r="D18" s="29"/>
      <c r="E18" s="29"/>
      <c r="F18" s="29"/>
      <c r="G18" s="29"/>
      <c r="H18" s="29"/>
      <c r="I18" s="29"/>
    </row>
    <row r="19" spans="1:9" x14ac:dyDescent="0.25">
      <c r="A19" s="109" t="s">
        <v>3092</v>
      </c>
      <c r="B19" s="109" t="s">
        <v>3023</v>
      </c>
      <c r="C19" s="110">
        <v>13909.32</v>
      </c>
      <c r="D19" s="110">
        <v>0</v>
      </c>
      <c r="E19" s="110">
        <v>9841.9699999999993</v>
      </c>
      <c r="F19" s="110">
        <v>10821</v>
      </c>
      <c r="G19" s="110">
        <v>10821</v>
      </c>
      <c r="H19" s="110">
        <f>Transfers!$C$68</f>
        <v>10000</v>
      </c>
      <c r="I19" s="108"/>
    </row>
    <row r="20" spans="1:9" x14ac:dyDescent="0.25">
      <c r="A20" s="109" t="s">
        <v>3093</v>
      </c>
      <c r="B20" s="109" t="s">
        <v>3094</v>
      </c>
      <c r="C20" s="110">
        <v>67041.02</v>
      </c>
      <c r="D20" s="110">
        <v>0</v>
      </c>
      <c r="E20" s="110">
        <v>38950.54</v>
      </c>
      <c r="F20" s="110">
        <v>39686</v>
      </c>
      <c r="G20" s="110">
        <v>39686</v>
      </c>
      <c r="H20" s="110">
        <f>Transfers!$C$69+Transfers!$C$70</f>
        <v>39000</v>
      </c>
      <c r="I20" s="108"/>
    </row>
    <row r="21" spans="1:9" x14ac:dyDescent="0.25">
      <c r="A21" s="109" t="s">
        <v>3095</v>
      </c>
      <c r="B21" s="109" t="s">
        <v>3096</v>
      </c>
      <c r="C21" s="110">
        <v>74500</v>
      </c>
      <c r="D21" s="110">
        <v>0</v>
      </c>
      <c r="E21" s="110">
        <v>71625</v>
      </c>
      <c r="F21" s="110">
        <v>81750</v>
      </c>
      <c r="G21" s="110">
        <v>81750</v>
      </c>
      <c r="H21" s="110">
        <f>Transfers!$C$71</f>
        <v>80000</v>
      </c>
      <c r="I21" s="108"/>
    </row>
    <row r="22" spans="1:9" x14ac:dyDescent="0.25">
      <c r="A22" s="109" t="s">
        <v>3095</v>
      </c>
      <c r="B22" s="109" t="s">
        <v>3096</v>
      </c>
      <c r="C22" s="110">
        <v>13329.77</v>
      </c>
      <c r="D22" s="110">
        <v>0</v>
      </c>
      <c r="E22" s="110">
        <v>81056.89</v>
      </c>
      <c r="F22" s="110">
        <v>10370</v>
      </c>
      <c r="G22" s="110">
        <v>10370</v>
      </c>
      <c r="H22" s="110">
        <f>Transfers!$C$72</f>
        <v>10000</v>
      </c>
      <c r="I22" s="108"/>
    </row>
    <row r="23" spans="1:9" x14ac:dyDescent="0.25">
      <c r="A23" s="109" t="s">
        <v>3097</v>
      </c>
      <c r="B23" s="109" t="s">
        <v>3098</v>
      </c>
      <c r="C23" s="110">
        <v>20284.43</v>
      </c>
      <c r="D23" s="110">
        <v>0</v>
      </c>
      <c r="E23" s="110">
        <v>14352.87</v>
      </c>
      <c r="F23" s="110">
        <v>15780</v>
      </c>
      <c r="G23" s="110">
        <v>15780</v>
      </c>
      <c r="H23" s="110">
        <f>Transfers!$C$73</f>
        <v>15000</v>
      </c>
      <c r="I23" s="108"/>
    </row>
    <row r="24" spans="1:9" x14ac:dyDescent="0.25">
      <c r="A24" s="109" t="s">
        <v>3099</v>
      </c>
      <c r="B24" s="109" t="s">
        <v>3100</v>
      </c>
      <c r="C24" s="110">
        <v>0</v>
      </c>
      <c r="D24" s="110">
        <v>0</v>
      </c>
      <c r="E24" s="110">
        <v>0</v>
      </c>
      <c r="F24" s="110">
        <v>0</v>
      </c>
      <c r="G24" s="110">
        <v>0</v>
      </c>
      <c r="H24" s="110">
        <f>Transfers!$C$74</f>
        <v>0</v>
      </c>
      <c r="I24" s="108"/>
    </row>
    <row r="25" spans="1:9" x14ac:dyDescent="0.25">
      <c r="A25" s="109" t="s">
        <v>3101</v>
      </c>
      <c r="B25" s="109" t="s">
        <v>3102</v>
      </c>
      <c r="C25" s="110">
        <v>0</v>
      </c>
      <c r="D25" s="110">
        <v>0</v>
      </c>
      <c r="E25" s="110">
        <v>0</v>
      </c>
      <c r="F25" s="110">
        <v>0</v>
      </c>
      <c r="G25" s="110">
        <v>0</v>
      </c>
      <c r="H25" s="110">
        <f>Transfers!$C$75</f>
        <v>0</v>
      </c>
      <c r="I25" s="108"/>
    </row>
    <row r="26" spans="1:9" ht="24" x14ac:dyDescent="0.25">
      <c r="A26" s="23" t="s">
        <v>2556</v>
      </c>
      <c r="B26" s="23" t="s">
        <v>2</v>
      </c>
      <c r="C26" s="32">
        <v>189064.54</v>
      </c>
      <c r="D26" s="32">
        <v>0</v>
      </c>
      <c r="E26" s="32">
        <f>SUM(E19:E25)</f>
        <v>215827.27000000002</v>
      </c>
      <c r="F26" s="32">
        <f>SUM(F19:F25)</f>
        <v>158407</v>
      </c>
      <c r="G26" s="32">
        <f>SUM(G19:G25)</f>
        <v>158407</v>
      </c>
      <c r="H26" s="32">
        <f>SUM(H19:H25)</f>
        <v>154000</v>
      </c>
      <c r="I26" s="29"/>
    </row>
    <row r="27" spans="1:9" x14ac:dyDescent="0.25">
      <c r="A27" s="23" t="s">
        <v>2</v>
      </c>
      <c r="B27" s="23" t="s">
        <v>2</v>
      </c>
      <c r="C27" s="23" t="s">
        <v>2</v>
      </c>
      <c r="D27" s="23" t="s">
        <v>2</v>
      </c>
      <c r="E27" s="23"/>
      <c r="F27" s="23"/>
      <c r="G27" s="23" t="s">
        <v>2</v>
      </c>
      <c r="H27" s="23" t="s">
        <v>2</v>
      </c>
      <c r="I27" s="29"/>
    </row>
    <row r="28" spans="1:9" x14ac:dyDescent="0.25">
      <c r="A28" s="23" t="s">
        <v>1845</v>
      </c>
      <c r="B28" s="23" t="s">
        <v>2</v>
      </c>
      <c r="C28" s="32">
        <v>189064.54</v>
      </c>
      <c r="D28" s="32">
        <v>0</v>
      </c>
      <c r="E28" s="32">
        <f>E14+E16+E26</f>
        <v>215827.27000000002</v>
      </c>
      <c r="F28" s="32">
        <f>F14+F16+F26</f>
        <v>158407</v>
      </c>
      <c r="G28" s="32">
        <f>G26+G16</f>
        <v>158407</v>
      </c>
      <c r="H28" s="32">
        <f>H26+H16</f>
        <v>154000</v>
      </c>
      <c r="I28" s="29"/>
    </row>
    <row r="29" spans="1:9" x14ac:dyDescent="0.25">
      <c r="A29" s="1" t="s">
        <v>740</v>
      </c>
      <c r="B29" s="1"/>
      <c r="C29" s="4"/>
      <c r="D29" s="4"/>
      <c r="E29" s="4"/>
      <c r="F29" s="4"/>
      <c r="G29" s="6"/>
      <c r="H29" s="6"/>
    </row>
    <row r="30" spans="1:9" ht="15" customHeight="1" x14ac:dyDescent="0.25">
      <c r="A30" s="1" t="s">
        <v>1828</v>
      </c>
      <c r="B30" s="1" t="s">
        <v>2</v>
      </c>
      <c r="C30" s="40"/>
    </row>
    <row r="31" spans="1:9" ht="15" customHeight="1" x14ac:dyDescent="0.25">
      <c r="A31" s="1" t="s">
        <v>556</v>
      </c>
      <c r="B31" s="1" t="s">
        <v>2</v>
      </c>
    </row>
    <row r="32" spans="1:9" ht="24" x14ac:dyDescent="0.25">
      <c r="A32" s="1" t="s">
        <v>1161</v>
      </c>
      <c r="B32" s="1" t="s">
        <v>2</v>
      </c>
    </row>
    <row r="33" spans="1:9" x14ac:dyDescent="0.25">
      <c r="A33" s="2" t="s">
        <v>1829</v>
      </c>
      <c r="B33" s="2" t="s">
        <v>1830</v>
      </c>
      <c r="C33" s="3">
        <v>30724.14</v>
      </c>
      <c r="D33" s="3">
        <v>30724.14</v>
      </c>
      <c r="E33" s="3">
        <v>30724.14</v>
      </c>
      <c r="F33" s="3">
        <f>G33</f>
        <v>30725</v>
      </c>
      <c r="G33" s="3">
        <v>30725</v>
      </c>
      <c r="H33" s="5">
        <v>30724.15</v>
      </c>
    </row>
    <row r="34" spans="1:9" ht="15" customHeight="1" x14ac:dyDescent="0.25">
      <c r="A34" s="2" t="s">
        <v>1831</v>
      </c>
      <c r="B34" s="2" t="s">
        <v>1832</v>
      </c>
      <c r="C34" s="3">
        <v>23684.21</v>
      </c>
      <c r="D34" s="3">
        <v>0</v>
      </c>
      <c r="E34" s="3">
        <v>0</v>
      </c>
      <c r="F34" s="3">
        <f>G34</f>
        <v>0</v>
      </c>
      <c r="G34" s="3">
        <v>0</v>
      </c>
      <c r="H34" s="5">
        <v>0</v>
      </c>
    </row>
    <row r="35" spans="1:9" ht="15" customHeight="1" x14ac:dyDescent="0.25">
      <c r="A35" s="2" t="s">
        <v>1833</v>
      </c>
      <c r="B35" s="2" t="s">
        <v>1834</v>
      </c>
      <c r="C35" s="3">
        <v>50000</v>
      </c>
      <c r="D35" s="3">
        <v>0</v>
      </c>
      <c r="E35" s="3">
        <v>60000</v>
      </c>
      <c r="F35" s="3">
        <f>G35</f>
        <v>60000</v>
      </c>
      <c r="G35" s="3">
        <v>60000</v>
      </c>
      <c r="H35" s="5">
        <v>55000</v>
      </c>
    </row>
    <row r="36" spans="1:9" x14ac:dyDescent="0.25">
      <c r="A36" s="2" t="s">
        <v>1835</v>
      </c>
      <c r="B36" s="2" t="s">
        <v>1836</v>
      </c>
      <c r="C36" s="3">
        <v>46830.09</v>
      </c>
      <c r="D36" s="3">
        <v>0</v>
      </c>
      <c r="E36" s="3">
        <v>36030.879999999997</v>
      </c>
      <c r="F36" s="3">
        <f>G36</f>
        <v>36031</v>
      </c>
      <c r="G36" s="3">
        <v>36031</v>
      </c>
      <c r="H36" s="5">
        <v>37832.42</v>
      </c>
    </row>
    <row r="37" spans="1:9" ht="24" x14ac:dyDescent="0.25">
      <c r="A37" s="1" t="s">
        <v>1164</v>
      </c>
      <c r="B37" s="1" t="s">
        <v>2</v>
      </c>
      <c r="C37" s="4">
        <v>151238.44</v>
      </c>
      <c r="D37" s="4">
        <v>30724.14</v>
      </c>
      <c r="E37" s="4">
        <f>SUM(E33:E36)</f>
        <v>126755.01999999999</v>
      </c>
      <c r="F37" s="4">
        <f>SUM(F33:F36)</f>
        <v>126756</v>
      </c>
      <c r="G37" s="6">
        <f>SUM(G33:G36)</f>
        <v>126756</v>
      </c>
      <c r="H37" s="6">
        <f>SUM(H33:H36)</f>
        <v>123556.56999999999</v>
      </c>
    </row>
    <row r="38" spans="1:9" x14ac:dyDescent="0.25">
      <c r="A38" s="1" t="s">
        <v>2</v>
      </c>
      <c r="B38" s="1" t="s">
        <v>2</v>
      </c>
      <c r="C38" s="1" t="s">
        <v>2</v>
      </c>
      <c r="D38" s="1" t="s">
        <v>2</v>
      </c>
      <c r="E38" s="1"/>
      <c r="F38" s="1"/>
      <c r="G38" s="1" t="s">
        <v>2</v>
      </c>
      <c r="H38" s="1" t="s">
        <v>2</v>
      </c>
    </row>
    <row r="39" spans="1:9" ht="15" customHeight="1" x14ac:dyDescent="0.25">
      <c r="A39" s="1" t="s">
        <v>1153</v>
      </c>
      <c r="B39" s="1" t="s">
        <v>2</v>
      </c>
    </row>
    <row r="40" spans="1:9" ht="15" customHeight="1" x14ac:dyDescent="0.25">
      <c r="A40" s="2" t="s">
        <v>1837</v>
      </c>
      <c r="B40" s="2" t="s">
        <v>1838</v>
      </c>
      <c r="C40" s="3">
        <v>1278.95</v>
      </c>
      <c r="D40" s="3">
        <v>0</v>
      </c>
      <c r="E40" s="3">
        <v>0</v>
      </c>
      <c r="F40" s="3">
        <f>G40</f>
        <v>0</v>
      </c>
      <c r="G40" s="3">
        <v>0</v>
      </c>
      <c r="H40" s="5">
        <v>0</v>
      </c>
    </row>
    <row r="41" spans="1:9" x14ac:dyDescent="0.25">
      <c r="A41" s="2" t="s">
        <v>1839</v>
      </c>
      <c r="B41" s="2" t="s">
        <v>1840</v>
      </c>
      <c r="C41" s="3">
        <v>921.73</v>
      </c>
      <c r="D41" s="3">
        <v>844.92</v>
      </c>
      <c r="E41" s="3">
        <v>844.92</v>
      </c>
      <c r="F41" s="3">
        <f>G41</f>
        <v>845</v>
      </c>
      <c r="G41" s="3">
        <v>845</v>
      </c>
      <c r="H41" s="5">
        <v>768.11</v>
      </c>
    </row>
    <row r="42" spans="1:9" x14ac:dyDescent="0.25">
      <c r="A42" s="2" t="s">
        <v>1841</v>
      </c>
      <c r="B42" s="2" t="s">
        <v>1842</v>
      </c>
      <c r="C42" s="3">
        <v>11125.41</v>
      </c>
      <c r="D42" s="3">
        <v>0</v>
      </c>
      <c r="E42" s="3">
        <v>4977.33</v>
      </c>
      <c r="F42" s="3">
        <f>G42</f>
        <v>9054</v>
      </c>
      <c r="G42" s="3">
        <v>9054</v>
      </c>
      <c r="H42" s="5">
        <v>7207.33</v>
      </c>
    </row>
    <row r="43" spans="1:9" ht="15" customHeight="1" x14ac:dyDescent="0.25">
      <c r="A43" s="2" t="s">
        <v>1843</v>
      </c>
      <c r="B43" s="2" t="s">
        <v>1844</v>
      </c>
      <c r="C43" s="3">
        <v>24500</v>
      </c>
      <c r="D43" s="3">
        <v>0</v>
      </c>
      <c r="E43" s="3">
        <v>11625</v>
      </c>
      <c r="F43" s="3">
        <f>G43</f>
        <v>21750</v>
      </c>
      <c r="G43" s="3">
        <v>21750</v>
      </c>
      <c r="H43" s="5">
        <v>18875</v>
      </c>
    </row>
    <row r="44" spans="1:9" ht="15" customHeight="1" x14ac:dyDescent="0.25">
      <c r="A44" s="1" t="s">
        <v>1158</v>
      </c>
      <c r="B44" s="1" t="s">
        <v>2</v>
      </c>
      <c r="C44" s="4">
        <v>37826.089999999997</v>
      </c>
      <c r="D44" s="4">
        <v>844.92</v>
      </c>
      <c r="E44" s="4">
        <f>SUM(E40:E43)</f>
        <v>17447.25</v>
      </c>
      <c r="F44" s="4">
        <f>SUM(F40:F43)</f>
        <v>31649</v>
      </c>
      <c r="G44" s="6">
        <f>SUM(G40:G43)</f>
        <v>31649</v>
      </c>
      <c r="H44" s="6">
        <f>SUM(H40:H43)</f>
        <v>26850.44</v>
      </c>
    </row>
    <row r="45" spans="1:9" ht="15" customHeight="1" x14ac:dyDescent="0.25">
      <c r="A45" s="1" t="s">
        <v>1845</v>
      </c>
      <c r="B45" s="1" t="s">
        <v>2</v>
      </c>
      <c r="C45" s="4">
        <v>189064.53</v>
      </c>
      <c r="D45" s="4">
        <v>31569.06</v>
      </c>
      <c r="E45" s="4">
        <f>E37+E44</f>
        <v>144202.26999999999</v>
      </c>
      <c r="F45" s="4">
        <f>F37+F44</f>
        <v>158405</v>
      </c>
      <c r="G45" s="6">
        <f>G44+G37</f>
        <v>158405</v>
      </c>
      <c r="H45" s="6">
        <f>H44+H37</f>
        <v>150407.00999999998</v>
      </c>
    </row>
    <row r="46" spans="1:9" ht="15" customHeight="1" x14ac:dyDescent="0.25">
      <c r="A46" s="291" t="s">
        <v>3103</v>
      </c>
      <c r="B46" s="291"/>
      <c r="C46" s="294">
        <f t="shared" ref="C46:H46" si="0">C7+C28-C45</f>
        <v>22257.380000000005</v>
      </c>
      <c r="D46" s="294">
        <f t="shared" si="0"/>
        <v>-9311.68</v>
      </c>
      <c r="E46" s="294">
        <f t="shared" si="0"/>
        <v>93882.380000000034</v>
      </c>
      <c r="F46" s="294">
        <f t="shared" si="0"/>
        <v>22259.380000000005</v>
      </c>
      <c r="G46" s="294">
        <f t="shared" si="0"/>
        <v>22259.380000000005</v>
      </c>
      <c r="H46" s="294">
        <f t="shared" si="0"/>
        <v>25852.370000000024</v>
      </c>
      <c r="I46" s="291"/>
    </row>
    <row r="47" spans="1:9" x14ac:dyDescent="0.25">
      <c r="A47" s="1" t="s">
        <v>2</v>
      </c>
      <c r="B47" s="1" t="s">
        <v>2</v>
      </c>
      <c r="C47" s="36"/>
      <c r="D47" s="1" t="s">
        <v>2</v>
      </c>
      <c r="E47" s="1"/>
      <c r="F47" s="1"/>
      <c r="G47" s="36"/>
      <c r="H47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10BD-0C0D-4E32-84D8-5128EFE52BA3}">
  <sheetPr>
    <tabColor rgb="FF92D050"/>
    <pageSetUpPr fitToPage="1"/>
  </sheetPr>
  <dimension ref="A1:M26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style="250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3995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H7-F20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3104</v>
      </c>
      <c r="B7" s="291"/>
      <c r="C7" s="294">
        <v>44657.69</v>
      </c>
      <c r="D7" s="294">
        <v>67605.98</v>
      </c>
      <c r="E7" s="294">
        <v>67605.98</v>
      </c>
      <c r="F7" s="294">
        <v>67605.98</v>
      </c>
      <c r="G7" s="294">
        <v>67605.98</v>
      </c>
      <c r="H7" s="294">
        <f>F20</f>
        <v>32349.806666666671</v>
      </c>
      <c r="I7" s="291"/>
    </row>
    <row r="8" spans="1:13" ht="24" x14ac:dyDescent="0.25">
      <c r="A8" s="23" t="s">
        <v>1846</v>
      </c>
      <c r="B8" s="23" t="s">
        <v>2</v>
      </c>
      <c r="C8" s="29"/>
      <c r="D8" s="29"/>
      <c r="E8" s="29"/>
      <c r="F8" s="29"/>
      <c r="G8" s="29"/>
      <c r="H8" s="29"/>
      <c r="I8" s="251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51"/>
    </row>
    <row r="10" spans="1:13" x14ac:dyDescent="0.25">
      <c r="A10" s="30" t="s">
        <v>3105</v>
      </c>
      <c r="B10" s="30" t="s">
        <v>2409</v>
      </c>
      <c r="C10" s="31">
        <v>0</v>
      </c>
      <c r="D10" s="31">
        <v>0</v>
      </c>
      <c r="E10" s="31">
        <v>0</v>
      </c>
      <c r="F10" s="31">
        <f>E10/9*12</f>
        <v>0</v>
      </c>
      <c r="G10" s="31">
        <v>0</v>
      </c>
      <c r="H10" s="31">
        <v>0</v>
      </c>
      <c r="I10" s="251"/>
    </row>
    <row r="11" spans="1:13" x14ac:dyDescent="0.25">
      <c r="A11" s="30" t="s">
        <v>3106</v>
      </c>
      <c r="B11" s="30" t="s">
        <v>3107</v>
      </c>
      <c r="C11" s="31">
        <v>55367.41</v>
      </c>
      <c r="D11" s="31">
        <v>20769.55</v>
      </c>
      <c r="E11" s="31">
        <v>34547.120000000003</v>
      </c>
      <c r="F11" s="31">
        <f>E11/9*12</f>
        <v>46062.826666666668</v>
      </c>
      <c r="G11" s="31">
        <v>43200</v>
      </c>
      <c r="H11" s="31">
        <v>45000</v>
      </c>
      <c r="I11" s="251"/>
    </row>
    <row r="12" spans="1:13" x14ac:dyDescent="0.25">
      <c r="A12" s="109" t="s">
        <v>3108</v>
      </c>
      <c r="B12" s="109" t="s">
        <v>3109</v>
      </c>
      <c r="C12" s="110">
        <v>0</v>
      </c>
      <c r="D12" s="110">
        <v>0</v>
      </c>
      <c r="E12" s="110">
        <v>0</v>
      </c>
      <c r="F12" s="110">
        <v>0</v>
      </c>
      <c r="G12" s="110">
        <v>0</v>
      </c>
      <c r="H12" s="110">
        <f>Transfers!$C$76</f>
        <v>0</v>
      </c>
      <c r="I12" s="253"/>
    </row>
    <row r="13" spans="1:13" ht="24" x14ac:dyDescent="0.25">
      <c r="A13" s="23" t="s">
        <v>1853</v>
      </c>
      <c r="B13" s="23" t="s">
        <v>2</v>
      </c>
      <c r="C13" s="32">
        <v>55367.41</v>
      </c>
      <c r="D13" s="32">
        <v>20769.55</v>
      </c>
      <c r="E13" s="32">
        <f>SUM(E10:E12)</f>
        <v>34547.120000000003</v>
      </c>
      <c r="F13" s="32">
        <f>SUM(F10:F12)</f>
        <v>46062.826666666668</v>
      </c>
      <c r="G13" s="32">
        <f>SUM(G10:G12)</f>
        <v>43200</v>
      </c>
      <c r="H13" s="32">
        <f>SUM(H10:H12)</f>
        <v>45000</v>
      </c>
      <c r="I13" s="251"/>
    </row>
    <row r="14" spans="1:13" x14ac:dyDescent="0.25">
      <c r="A14" s="1" t="s">
        <v>740</v>
      </c>
      <c r="B14" s="1"/>
      <c r="C14" s="4"/>
      <c r="D14" s="4"/>
      <c r="E14" s="4"/>
      <c r="F14" s="4"/>
      <c r="G14" s="6"/>
      <c r="H14" s="6"/>
      <c r="I14" s="6"/>
    </row>
    <row r="15" spans="1:13" ht="15" customHeight="1" x14ac:dyDescent="0.25">
      <c r="A15" s="1" t="s">
        <v>1846</v>
      </c>
      <c r="B15" s="1" t="s">
        <v>2</v>
      </c>
    </row>
    <row r="16" spans="1:13" ht="15" customHeight="1" x14ac:dyDescent="0.25">
      <c r="A16" s="2" t="s">
        <v>1847</v>
      </c>
      <c r="B16" s="2" t="s">
        <v>1848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</row>
    <row r="17" spans="1:9" ht="15" customHeight="1" x14ac:dyDescent="0.25">
      <c r="A17" s="2" t="s">
        <v>1849</v>
      </c>
      <c r="B17" s="2" t="s">
        <v>1850</v>
      </c>
      <c r="C17" s="3">
        <v>30795.91</v>
      </c>
      <c r="D17" s="3">
        <v>0</v>
      </c>
      <c r="E17" s="3">
        <v>80000</v>
      </c>
      <c r="F17" s="3">
        <v>80000</v>
      </c>
      <c r="G17" s="3">
        <v>80000</v>
      </c>
      <c r="H17" s="3">
        <v>51525.46</v>
      </c>
      <c r="I17" s="250" t="s">
        <v>3554</v>
      </c>
    </row>
    <row r="18" spans="1:9" ht="15" customHeight="1" x14ac:dyDescent="0.25">
      <c r="A18" s="2" t="s">
        <v>1851</v>
      </c>
      <c r="B18" s="2" t="s">
        <v>1852</v>
      </c>
      <c r="C18" s="3">
        <v>1623.21</v>
      </c>
      <c r="D18" s="3">
        <v>0</v>
      </c>
      <c r="E18" s="3">
        <v>1315.25</v>
      </c>
      <c r="F18" s="3">
        <v>1319</v>
      </c>
      <c r="G18" s="3">
        <v>1319</v>
      </c>
      <c r="H18" s="3">
        <v>849.53</v>
      </c>
    </row>
    <row r="19" spans="1:9" ht="15" customHeight="1" x14ac:dyDescent="0.25">
      <c r="A19" s="1" t="s">
        <v>1853</v>
      </c>
      <c r="B19" s="1" t="s">
        <v>2</v>
      </c>
      <c r="C19" s="4">
        <v>32419.119999999999</v>
      </c>
      <c r="D19" s="4">
        <v>0</v>
      </c>
      <c r="E19" s="4">
        <f>SUM(E16:E18)</f>
        <v>81315.25</v>
      </c>
      <c r="F19" s="4">
        <f>SUM(F16:F18)</f>
        <v>81319</v>
      </c>
      <c r="G19" s="6">
        <f>SUM(G16:G18)</f>
        <v>81319</v>
      </c>
      <c r="H19" s="6">
        <f>SUM(H16:H18)</f>
        <v>52374.99</v>
      </c>
    </row>
    <row r="20" spans="1:9" ht="15" customHeight="1" x14ac:dyDescent="0.25">
      <c r="A20" s="291" t="s">
        <v>3110</v>
      </c>
      <c r="B20" s="291" t="s">
        <v>2</v>
      </c>
      <c r="C20" s="294">
        <f t="shared" ref="C20:H20" si="0">C7+C13-C19</f>
        <v>67605.98000000001</v>
      </c>
      <c r="D20" s="294">
        <f t="shared" si="0"/>
        <v>88375.53</v>
      </c>
      <c r="E20" s="294">
        <f t="shared" si="0"/>
        <v>20837.850000000006</v>
      </c>
      <c r="F20" s="294">
        <f t="shared" si="0"/>
        <v>32349.806666666671</v>
      </c>
      <c r="G20" s="294">
        <f t="shared" si="0"/>
        <v>29486.979999999996</v>
      </c>
      <c r="H20" s="294">
        <f t="shared" si="0"/>
        <v>24974.816666666673</v>
      </c>
      <c r="I20" s="291"/>
    </row>
    <row r="21" spans="1:9" x14ac:dyDescent="0.25">
      <c r="A21" s="1" t="s">
        <v>2</v>
      </c>
      <c r="B21" s="1" t="s">
        <v>2</v>
      </c>
      <c r="C21" s="1" t="s">
        <v>2</v>
      </c>
      <c r="D21" s="1" t="s">
        <v>2</v>
      </c>
      <c r="E21" s="1"/>
      <c r="F21" s="1"/>
      <c r="G21" s="1" t="s">
        <v>2</v>
      </c>
      <c r="H21" s="1" t="s">
        <v>2</v>
      </c>
    </row>
    <row r="25" spans="1:9" x14ac:dyDescent="0.25">
      <c r="I25" s="254"/>
    </row>
    <row r="26" spans="1:9" x14ac:dyDescent="0.25">
      <c r="I26" s="254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FAA8D-99BA-420C-9786-9B1A3D325786}">
  <sheetPr>
    <tabColor rgb="FF92D050"/>
    <pageSetUpPr fitToPage="1"/>
  </sheetPr>
  <dimension ref="A1:M20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3994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H7-F19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3111</v>
      </c>
      <c r="B7" s="291" t="s">
        <v>2</v>
      </c>
      <c r="C7" s="294">
        <v>3619415.45</v>
      </c>
      <c r="D7" s="294">
        <v>3509975.18</v>
      </c>
      <c r="E7" s="294">
        <v>3509975.18</v>
      </c>
      <c r="F7" s="294">
        <v>3509975.18</v>
      </c>
      <c r="G7" s="294">
        <v>3509975.18</v>
      </c>
      <c r="H7" s="294">
        <f>F19</f>
        <v>4109359.8333333335</v>
      </c>
      <c r="I7" s="291"/>
    </row>
    <row r="8" spans="1:13" ht="24" x14ac:dyDescent="0.25">
      <c r="A8" s="23" t="s">
        <v>1854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3112</v>
      </c>
      <c r="B10" s="30" t="s">
        <v>3113</v>
      </c>
      <c r="C10" s="31">
        <v>0</v>
      </c>
      <c r="D10" s="31">
        <v>0</v>
      </c>
      <c r="E10" s="31">
        <v>0</v>
      </c>
      <c r="F10" s="31">
        <v>600000</v>
      </c>
      <c r="G10" s="31">
        <v>600000</v>
      </c>
      <c r="H10" s="31">
        <v>600000</v>
      </c>
      <c r="I10" s="29"/>
    </row>
    <row r="11" spans="1:13" x14ac:dyDescent="0.25">
      <c r="A11" s="109" t="s">
        <v>3114</v>
      </c>
      <c r="B11" s="109" t="s">
        <v>3115</v>
      </c>
      <c r="C11" s="110">
        <v>0</v>
      </c>
      <c r="D11" s="110">
        <v>0</v>
      </c>
      <c r="E11" s="110">
        <v>0</v>
      </c>
      <c r="F11" s="110">
        <v>36517.96</v>
      </c>
      <c r="G11" s="110">
        <v>36517.96</v>
      </c>
      <c r="H11" s="110">
        <f>Transfers!$C$77</f>
        <v>371000</v>
      </c>
      <c r="I11" s="108"/>
    </row>
    <row r="12" spans="1:13" x14ac:dyDescent="0.25">
      <c r="A12" s="109" t="s">
        <v>3419</v>
      </c>
      <c r="B12" s="109" t="s">
        <v>4169</v>
      </c>
      <c r="C12" s="110">
        <v>0</v>
      </c>
      <c r="D12" s="110"/>
      <c r="E12" s="110"/>
      <c r="F12" s="110">
        <v>0</v>
      </c>
      <c r="G12" s="110">
        <v>0</v>
      </c>
      <c r="H12" s="110">
        <f>Transfers!C78</f>
        <v>150000</v>
      </c>
      <c r="I12" s="108"/>
    </row>
    <row r="13" spans="1:13" ht="24" x14ac:dyDescent="0.25">
      <c r="A13" s="23" t="s">
        <v>1859</v>
      </c>
      <c r="B13" s="23" t="s">
        <v>2</v>
      </c>
      <c r="C13" s="32">
        <v>0</v>
      </c>
      <c r="D13" s="32">
        <v>0</v>
      </c>
      <c r="E13" s="32">
        <f>E10+E11</f>
        <v>0</v>
      </c>
      <c r="F13" s="32">
        <f>SUM(F10:F12)</f>
        <v>636517.96</v>
      </c>
      <c r="G13" s="32">
        <f>SUM(G10:G12)</f>
        <v>636517.96</v>
      </c>
      <c r="H13" s="32">
        <f>SUM(H10:H12)</f>
        <v>1121000</v>
      </c>
      <c r="I13" s="29"/>
    </row>
    <row r="14" spans="1:13" x14ac:dyDescent="0.25">
      <c r="A14" s="1" t="s">
        <v>740</v>
      </c>
      <c r="B14" s="1" t="s">
        <v>2</v>
      </c>
      <c r="C14" s="1" t="s">
        <v>2</v>
      </c>
      <c r="D14" s="1" t="s">
        <v>2</v>
      </c>
      <c r="E14" s="1"/>
      <c r="F14" s="1"/>
      <c r="G14" s="1" t="s">
        <v>2</v>
      </c>
      <c r="H14" s="1" t="s">
        <v>2</v>
      </c>
    </row>
    <row r="15" spans="1:13" ht="15" customHeight="1" x14ac:dyDescent="0.25">
      <c r="A15" s="1" t="s">
        <v>1854</v>
      </c>
      <c r="B15" s="1" t="s">
        <v>2</v>
      </c>
    </row>
    <row r="16" spans="1:13" ht="15" customHeight="1" x14ac:dyDescent="0.25">
      <c r="A16" s="2" t="s">
        <v>1855</v>
      </c>
      <c r="B16" s="2" t="s">
        <v>1856</v>
      </c>
      <c r="C16" s="3">
        <v>106024.27</v>
      </c>
      <c r="D16" s="3">
        <v>9154.64</v>
      </c>
      <c r="E16" s="3">
        <v>14758.14</v>
      </c>
      <c r="F16" s="3">
        <f>E16/9*12</f>
        <v>19677.52</v>
      </c>
      <c r="G16" s="3">
        <v>4150000</v>
      </c>
      <c r="H16" s="5">
        <v>5200000</v>
      </c>
    </row>
    <row r="17" spans="1:9" ht="15" customHeight="1" x14ac:dyDescent="0.25">
      <c r="A17" s="2" t="s">
        <v>1857</v>
      </c>
      <c r="B17" s="2" t="s">
        <v>1858</v>
      </c>
      <c r="C17" s="3">
        <v>3416</v>
      </c>
      <c r="D17" s="3">
        <v>13091.84</v>
      </c>
      <c r="E17" s="3">
        <v>13091.84</v>
      </c>
      <c r="F17" s="3">
        <f>E17/9*12</f>
        <v>17455.786666666667</v>
      </c>
      <c r="G17" s="3">
        <v>0</v>
      </c>
      <c r="H17" s="5">
        <v>0</v>
      </c>
    </row>
    <row r="18" spans="1:9" ht="15" customHeight="1" x14ac:dyDescent="0.25">
      <c r="A18" s="1" t="s">
        <v>1859</v>
      </c>
      <c r="B18" s="1" t="s">
        <v>2</v>
      </c>
      <c r="C18" s="4">
        <v>109440.27</v>
      </c>
      <c r="D18" s="4">
        <v>22246.48</v>
      </c>
      <c r="E18" s="4">
        <f>E16+E17</f>
        <v>27849.98</v>
      </c>
      <c r="F18" s="4">
        <f>F16+F17</f>
        <v>37133.306666666671</v>
      </c>
      <c r="G18" s="6">
        <f>SUM(G16:G17)</f>
        <v>4150000</v>
      </c>
      <c r="H18" s="6">
        <f>SUM(H16:H17)</f>
        <v>5200000</v>
      </c>
    </row>
    <row r="19" spans="1:9" ht="15" customHeight="1" x14ac:dyDescent="0.25">
      <c r="A19" s="291" t="s">
        <v>3116</v>
      </c>
      <c r="B19" s="291"/>
      <c r="C19" s="294">
        <f>C7+C13-C18</f>
        <v>3509975.18</v>
      </c>
      <c r="D19" s="294">
        <f>D7+D13-D18</f>
        <v>3487728.7</v>
      </c>
      <c r="E19" s="294">
        <f>E7+E13-E18</f>
        <v>3482125.2</v>
      </c>
      <c r="F19" s="294">
        <f>F7+F13-F18</f>
        <v>4109359.8333333335</v>
      </c>
      <c r="G19" s="294">
        <f t="shared" ref="G19" si="0">G7+G13-G18</f>
        <v>-3506.8599999998696</v>
      </c>
      <c r="H19" s="294">
        <f>H7+H13-H18</f>
        <v>30359.833333333954</v>
      </c>
      <c r="I19" s="291"/>
    </row>
    <row r="20" spans="1:9" x14ac:dyDescent="0.25">
      <c r="A20" s="1" t="s">
        <v>2</v>
      </c>
      <c r="B20" s="1" t="s">
        <v>2</v>
      </c>
      <c r="C20" s="1" t="s">
        <v>2</v>
      </c>
      <c r="D20" s="1" t="s">
        <v>2</v>
      </c>
      <c r="E20" s="1"/>
      <c r="F20" s="1"/>
      <c r="G20" s="1" t="s">
        <v>2</v>
      </c>
      <c r="H20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CCDE7-D230-4D51-92CA-3ACD780B1DA3}">
  <sheetPr>
    <tabColor rgb="FF92D050"/>
    <pageSetUpPr fitToPage="1"/>
  </sheetPr>
  <dimension ref="A1:M19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3993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H7-F18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3117</v>
      </c>
      <c r="B7" s="291"/>
      <c r="C7" s="294">
        <v>411517.96</v>
      </c>
      <c r="D7" s="294">
        <v>407993.67</v>
      </c>
      <c r="E7" s="294">
        <v>407993.67</v>
      </c>
      <c r="F7" s="294">
        <v>407993.67</v>
      </c>
      <c r="G7" s="294">
        <v>407993.67</v>
      </c>
      <c r="H7" s="294">
        <f>F18</f>
        <v>371475.70999999996</v>
      </c>
      <c r="I7" s="291"/>
    </row>
    <row r="8" spans="1:13" x14ac:dyDescent="0.25">
      <c r="A8" s="23" t="s">
        <v>1860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3118</v>
      </c>
      <c r="B10" s="30" t="s">
        <v>3119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29"/>
    </row>
    <row r="11" spans="1:13" x14ac:dyDescent="0.25">
      <c r="A11" s="109" t="s">
        <v>3120</v>
      </c>
      <c r="B11" s="109" t="s">
        <v>3121</v>
      </c>
      <c r="C11" s="110">
        <v>0</v>
      </c>
      <c r="D11" s="110">
        <v>0</v>
      </c>
      <c r="E11" s="110">
        <v>0</v>
      </c>
      <c r="F11" s="110">
        <v>0</v>
      </c>
      <c r="G11" s="110">
        <v>0</v>
      </c>
      <c r="H11" s="110">
        <f>Transfers!$C$79</f>
        <v>0</v>
      </c>
      <c r="I11" s="108"/>
    </row>
    <row r="12" spans="1:13" x14ac:dyDescent="0.25">
      <c r="A12" s="23" t="s">
        <v>1865</v>
      </c>
      <c r="B12" s="23" t="s">
        <v>2</v>
      </c>
      <c r="C12" s="32">
        <v>0</v>
      </c>
      <c r="D12" s="32">
        <v>0</v>
      </c>
      <c r="E12" s="32">
        <f>E10+E11</f>
        <v>0</v>
      </c>
      <c r="F12" s="32">
        <v>0</v>
      </c>
      <c r="G12" s="32">
        <f>SUM(G10:G11)</f>
        <v>0</v>
      </c>
      <c r="H12" s="32">
        <f>SUM(H10:H11)</f>
        <v>0</v>
      </c>
      <c r="I12" s="29"/>
    </row>
    <row r="13" spans="1:13" x14ac:dyDescent="0.25">
      <c r="A13" s="1" t="s">
        <v>740</v>
      </c>
      <c r="B13" s="1"/>
      <c r="C13" s="4"/>
      <c r="D13" s="4"/>
      <c r="E13" s="4"/>
      <c r="F13" s="4"/>
      <c r="G13" s="6"/>
      <c r="H13" s="6"/>
    </row>
    <row r="14" spans="1:13" x14ac:dyDescent="0.25">
      <c r="A14" s="1" t="s">
        <v>1860</v>
      </c>
      <c r="B14" s="1" t="s">
        <v>2</v>
      </c>
      <c r="C14" s="40"/>
      <c r="G14" s="40"/>
    </row>
    <row r="15" spans="1:13" x14ac:dyDescent="0.25">
      <c r="A15" s="2" t="s">
        <v>1861</v>
      </c>
      <c r="B15" s="2" t="s">
        <v>1862</v>
      </c>
      <c r="C15" s="3">
        <v>3524.29</v>
      </c>
      <c r="D15" s="3">
        <v>335522.24</v>
      </c>
      <c r="E15" s="3">
        <v>335527.90000000002</v>
      </c>
      <c r="F15" s="3">
        <v>0</v>
      </c>
      <c r="G15" s="3">
        <v>0</v>
      </c>
      <c r="H15" s="5">
        <v>0</v>
      </c>
    </row>
    <row r="16" spans="1:13" ht="15" customHeight="1" x14ac:dyDescent="0.25">
      <c r="A16" s="109" t="s">
        <v>1863</v>
      </c>
      <c r="B16" s="109" t="s">
        <v>1864</v>
      </c>
      <c r="C16" s="110">
        <v>0</v>
      </c>
      <c r="D16" s="110">
        <v>0</v>
      </c>
      <c r="E16" s="110">
        <v>0</v>
      </c>
      <c r="F16" s="110">
        <v>36517.96</v>
      </c>
      <c r="G16" s="110">
        <v>36517.96</v>
      </c>
      <c r="H16" s="110">
        <f>Transfers!$C$77</f>
        <v>371000</v>
      </c>
      <c r="I16" s="108"/>
    </row>
    <row r="17" spans="1:9" ht="15" customHeight="1" x14ac:dyDescent="0.25">
      <c r="A17" s="1" t="s">
        <v>1865</v>
      </c>
      <c r="B17" s="1" t="s">
        <v>2</v>
      </c>
      <c r="C17" s="4">
        <v>3524.29</v>
      </c>
      <c r="D17" s="4">
        <v>335522.24</v>
      </c>
      <c r="E17" s="4">
        <f>E15+E16</f>
        <v>335527.90000000002</v>
      </c>
      <c r="F17" s="4">
        <f>F15+F16</f>
        <v>36517.96</v>
      </c>
      <c r="G17" s="6">
        <f>SUM(G15:G16)</f>
        <v>36517.96</v>
      </c>
      <c r="H17" s="6">
        <f>SUM(H15:H16)</f>
        <v>371000</v>
      </c>
    </row>
    <row r="18" spans="1:9" ht="15" customHeight="1" x14ac:dyDescent="0.25">
      <c r="A18" s="291" t="s">
        <v>3122</v>
      </c>
      <c r="B18" s="291"/>
      <c r="C18" s="294">
        <f t="shared" ref="C18:H18" si="0">C7+C12-C17</f>
        <v>407993.67000000004</v>
      </c>
      <c r="D18" s="294">
        <f t="shared" si="0"/>
        <v>72471.429999999993</v>
      </c>
      <c r="E18" s="294">
        <f t="shared" si="0"/>
        <v>72465.76999999996</v>
      </c>
      <c r="F18" s="294">
        <f t="shared" si="0"/>
        <v>371475.70999999996</v>
      </c>
      <c r="G18" s="294">
        <f t="shared" si="0"/>
        <v>371475.70999999996</v>
      </c>
      <c r="H18" s="294">
        <f t="shared" si="0"/>
        <v>475.70999999996275</v>
      </c>
      <c r="I18" s="291"/>
    </row>
    <row r="19" spans="1:9" x14ac:dyDescent="0.25">
      <c r="A19" s="1" t="s">
        <v>2</v>
      </c>
      <c r="B19" s="1" t="s">
        <v>2</v>
      </c>
      <c r="C19" s="1" t="s">
        <v>2</v>
      </c>
      <c r="D19" s="1" t="s">
        <v>2</v>
      </c>
      <c r="E19" s="1"/>
      <c r="F19" s="1"/>
      <c r="G19" s="1" t="s">
        <v>2</v>
      </c>
      <c r="H19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BEBE0-4DAB-4F3D-B851-7D65D67D4773}">
  <sheetPr>
    <tabColor rgb="FF92D050"/>
    <pageSetUpPr fitToPage="1"/>
  </sheetPr>
  <dimension ref="A1:M24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s="242" customFormat="1" ht="18" customHeight="1" x14ac:dyDescent="0.3">
      <c r="A3" s="334" t="s">
        <v>3992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H7-F23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3123</v>
      </c>
      <c r="B7" s="291"/>
      <c r="C7" s="294">
        <v>-1017297.35</v>
      </c>
      <c r="D7" s="294">
        <v>1185922.51</v>
      </c>
      <c r="E7" s="294">
        <v>1185922.51</v>
      </c>
      <c r="F7" s="294">
        <v>1185922.51</v>
      </c>
      <c r="G7" s="294">
        <v>1185922.51</v>
      </c>
      <c r="H7" s="294">
        <f>F23</f>
        <v>198120.39000000013</v>
      </c>
      <c r="I7" s="291"/>
    </row>
    <row r="8" spans="1:13" ht="24" x14ac:dyDescent="0.25">
      <c r="A8" s="23" t="s">
        <v>1866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3124</v>
      </c>
      <c r="B10" s="30" t="s">
        <v>3125</v>
      </c>
      <c r="C10" s="31">
        <v>876177.06</v>
      </c>
      <c r="D10" s="31">
        <v>31036.36</v>
      </c>
      <c r="E10" s="31">
        <v>31036.36</v>
      </c>
      <c r="F10" s="31">
        <v>31036.36</v>
      </c>
      <c r="G10" s="31">
        <v>0</v>
      </c>
      <c r="H10" s="31">
        <v>0</v>
      </c>
      <c r="I10" s="29"/>
    </row>
    <row r="11" spans="1:13" x14ac:dyDescent="0.25">
      <c r="A11" s="30" t="s">
        <v>3126</v>
      </c>
      <c r="B11" s="30" t="s">
        <v>3127</v>
      </c>
      <c r="C11" s="31">
        <v>1100000</v>
      </c>
      <c r="D11" s="31">
        <v>0</v>
      </c>
      <c r="E11" s="31">
        <v>0</v>
      </c>
      <c r="F11" s="31">
        <v>0</v>
      </c>
      <c r="G11" s="31">
        <v>2000000</v>
      </c>
      <c r="H11" s="31">
        <v>0</v>
      </c>
      <c r="I11" s="29"/>
    </row>
    <row r="12" spans="1:13" x14ac:dyDescent="0.25">
      <c r="A12" s="30" t="s">
        <v>3128</v>
      </c>
      <c r="B12" s="30" t="s">
        <v>3129</v>
      </c>
      <c r="C12" s="31">
        <v>11163088.470000001</v>
      </c>
      <c r="D12" s="31">
        <v>1234658.21</v>
      </c>
      <c r="E12" s="31">
        <v>1804384.84</v>
      </c>
      <c r="F12" s="31">
        <v>1804384.84</v>
      </c>
      <c r="G12" s="31">
        <v>2215000</v>
      </c>
      <c r="H12" s="31">
        <v>0</v>
      </c>
      <c r="I12" s="29"/>
    </row>
    <row r="13" spans="1:13" x14ac:dyDescent="0.25">
      <c r="A13" s="109" t="s">
        <v>3130</v>
      </c>
      <c r="B13" s="109" t="s">
        <v>3131</v>
      </c>
      <c r="C13" s="110">
        <v>0</v>
      </c>
      <c r="D13" s="110">
        <v>0</v>
      </c>
      <c r="E13" s="110">
        <v>0</v>
      </c>
      <c r="F13" s="110">
        <v>0</v>
      </c>
      <c r="G13" s="110">
        <v>0</v>
      </c>
      <c r="H13" s="110">
        <f>Transfers!$C$80</f>
        <v>0</v>
      </c>
      <c r="I13" s="108"/>
    </row>
    <row r="14" spans="1:13" ht="24" x14ac:dyDescent="0.25">
      <c r="A14" s="23" t="s">
        <v>1877</v>
      </c>
      <c r="B14" s="23" t="s">
        <v>2</v>
      </c>
      <c r="C14" s="32">
        <v>13139265.529999999</v>
      </c>
      <c r="D14" s="32">
        <v>1265694.57</v>
      </c>
      <c r="E14" s="32">
        <f>SUM(E10:E13)</f>
        <v>1835421.2000000002</v>
      </c>
      <c r="F14" s="32">
        <f>SUM(F10:F13)</f>
        <v>1835421.2000000002</v>
      </c>
      <c r="G14" s="32">
        <f>SUM(G10:G13)</f>
        <v>4215000</v>
      </c>
      <c r="H14" s="32">
        <f>SUM(H10:H13)</f>
        <v>0</v>
      </c>
      <c r="I14" s="29"/>
    </row>
    <row r="15" spans="1:13" x14ac:dyDescent="0.25">
      <c r="A15" s="1" t="s">
        <v>740</v>
      </c>
      <c r="B15" s="1"/>
      <c r="C15" s="4"/>
      <c r="D15" s="4"/>
      <c r="E15" s="4"/>
      <c r="F15" s="4"/>
      <c r="G15" s="6"/>
      <c r="H15" s="6"/>
    </row>
    <row r="16" spans="1:13" ht="15" customHeight="1" x14ac:dyDescent="0.25">
      <c r="A16" s="1" t="s">
        <v>1866</v>
      </c>
      <c r="B16" s="1" t="s">
        <v>2</v>
      </c>
      <c r="C16" s="40"/>
      <c r="G16" s="40"/>
    </row>
    <row r="17" spans="1:9" ht="15" customHeight="1" x14ac:dyDescent="0.25">
      <c r="A17" s="2" t="s">
        <v>1867</v>
      </c>
      <c r="B17" s="2" t="s">
        <v>1868</v>
      </c>
      <c r="C17" s="3">
        <v>9834808.1699999999</v>
      </c>
      <c r="D17" s="3">
        <v>1500400.9</v>
      </c>
      <c r="E17" s="3">
        <v>2823223.32</v>
      </c>
      <c r="F17" s="3">
        <v>2823223.32</v>
      </c>
      <c r="G17" s="3">
        <v>2215000</v>
      </c>
      <c r="H17" s="5">
        <v>0</v>
      </c>
    </row>
    <row r="18" spans="1:9" ht="15" customHeight="1" x14ac:dyDescent="0.25">
      <c r="A18" s="2" t="s">
        <v>1869</v>
      </c>
      <c r="B18" s="2" t="s">
        <v>1870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5">
        <v>0</v>
      </c>
    </row>
    <row r="19" spans="1:9" ht="15" customHeight="1" x14ac:dyDescent="0.25">
      <c r="A19" s="2" t="s">
        <v>1871</v>
      </c>
      <c r="B19" s="2" t="s">
        <v>1872</v>
      </c>
      <c r="C19" s="3">
        <v>1100000</v>
      </c>
      <c r="D19" s="3">
        <v>0</v>
      </c>
      <c r="E19" s="3">
        <v>0</v>
      </c>
      <c r="F19" s="3">
        <v>0</v>
      </c>
      <c r="G19" s="3">
        <v>2000000</v>
      </c>
      <c r="H19" s="5">
        <v>0</v>
      </c>
    </row>
    <row r="20" spans="1:9" x14ac:dyDescent="0.25">
      <c r="A20" s="2" t="s">
        <v>1873</v>
      </c>
      <c r="B20" s="2" t="s">
        <v>1874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5">
        <v>0</v>
      </c>
    </row>
    <row r="21" spans="1:9" ht="15" customHeight="1" x14ac:dyDescent="0.25">
      <c r="A21" s="2" t="s">
        <v>1875</v>
      </c>
      <c r="B21" s="2" t="s">
        <v>1876</v>
      </c>
      <c r="C21" s="3">
        <v>1237.5</v>
      </c>
      <c r="D21" s="3">
        <v>0</v>
      </c>
      <c r="E21" s="3">
        <v>0</v>
      </c>
      <c r="F21" s="3">
        <v>0</v>
      </c>
      <c r="G21" s="3">
        <v>20000</v>
      </c>
      <c r="H21" s="5">
        <v>0</v>
      </c>
    </row>
    <row r="22" spans="1:9" ht="24" x14ac:dyDescent="0.25">
      <c r="A22" s="1" t="s">
        <v>1877</v>
      </c>
      <c r="B22" s="1" t="s">
        <v>2</v>
      </c>
      <c r="C22" s="4">
        <v>10936045.67</v>
      </c>
      <c r="D22" s="4">
        <v>1500400.9</v>
      </c>
      <c r="E22" s="4">
        <f>SUM(E17:E21)</f>
        <v>2823223.32</v>
      </c>
      <c r="F22" s="4">
        <f>SUM(F17:F21)</f>
        <v>2823223.32</v>
      </c>
      <c r="G22" s="6">
        <f>SUM(G17:G21)</f>
        <v>4235000</v>
      </c>
      <c r="H22" s="6">
        <f>SUM(H17:H21)</f>
        <v>0</v>
      </c>
    </row>
    <row r="23" spans="1:9" ht="15" customHeight="1" x14ac:dyDescent="0.25">
      <c r="A23" s="291" t="s">
        <v>3132</v>
      </c>
      <c r="B23" s="291"/>
      <c r="C23" s="294">
        <f t="shared" ref="C23:H23" si="0">C7+C14-C22</f>
        <v>1185922.5099999998</v>
      </c>
      <c r="D23" s="294">
        <f t="shared" si="0"/>
        <v>951216.18000000017</v>
      </c>
      <c r="E23" s="294">
        <f t="shared" si="0"/>
        <v>198120.39000000013</v>
      </c>
      <c r="F23" s="294">
        <f t="shared" si="0"/>
        <v>198120.39000000013</v>
      </c>
      <c r="G23" s="294">
        <f t="shared" si="0"/>
        <v>1165922.5099999998</v>
      </c>
      <c r="H23" s="294">
        <f t="shared" si="0"/>
        <v>198120.39000000013</v>
      </c>
      <c r="I23" s="291"/>
    </row>
    <row r="24" spans="1:9" x14ac:dyDescent="0.25">
      <c r="A24" s="1" t="s">
        <v>2</v>
      </c>
      <c r="B24" s="1" t="s">
        <v>2</v>
      </c>
      <c r="C24" s="1" t="s">
        <v>2</v>
      </c>
      <c r="D24" s="1" t="s">
        <v>2</v>
      </c>
      <c r="E24" s="1"/>
      <c r="F24" s="1"/>
      <c r="G24" s="1" t="s">
        <v>2</v>
      </c>
      <c r="H24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339D-F6A5-4668-A951-92B9DCE5CD50}">
  <sheetPr>
    <tabColor rgb="FF92D050"/>
    <pageSetUpPr fitToPage="1"/>
  </sheetPr>
  <dimension ref="A1:M50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3990</v>
      </c>
      <c r="B3" s="329"/>
      <c r="C3" s="329"/>
      <c r="D3" s="329"/>
      <c r="E3" s="329"/>
      <c r="F3" s="329"/>
      <c r="G3" s="329"/>
      <c r="H3" s="329"/>
      <c r="I3" s="329"/>
    </row>
    <row r="4" spans="1:13" ht="18" customHeight="1" x14ac:dyDescent="0.5">
      <c r="A4" s="8"/>
      <c r="H4" s="241">
        <f>H7-F49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3133</v>
      </c>
      <c r="B7" s="291"/>
      <c r="C7" s="294">
        <v>97166.23</v>
      </c>
      <c r="D7" s="294">
        <v>100143.52</v>
      </c>
      <c r="E7" s="294">
        <v>100143.52</v>
      </c>
      <c r="F7" s="294">
        <v>100143.52</v>
      </c>
      <c r="G7" s="294">
        <v>100143.52</v>
      </c>
      <c r="H7" s="294">
        <f>F49</f>
        <v>198382.46000000002</v>
      </c>
      <c r="I7" s="291"/>
    </row>
    <row r="8" spans="1:13" x14ac:dyDescent="0.25">
      <c r="A8" s="23" t="s">
        <v>41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2102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30" t="s">
        <v>3134</v>
      </c>
      <c r="B11" s="30" t="s">
        <v>2608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29"/>
    </row>
    <row r="12" spans="1:13" x14ac:dyDescent="0.25">
      <c r="A12" s="30" t="s">
        <v>3135</v>
      </c>
      <c r="B12" s="30" t="s">
        <v>3136</v>
      </c>
      <c r="C12" s="31">
        <v>2977.29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29"/>
    </row>
    <row r="13" spans="1:13" ht="24" x14ac:dyDescent="0.25">
      <c r="A13" s="23" t="s">
        <v>2174</v>
      </c>
      <c r="B13" s="23" t="s">
        <v>2</v>
      </c>
      <c r="C13" s="32">
        <v>2977.29</v>
      </c>
      <c r="D13" s="32">
        <v>0</v>
      </c>
      <c r="E13" s="32">
        <f>E11+E12</f>
        <v>0</v>
      </c>
      <c r="F13" s="32">
        <f>F11+F12</f>
        <v>0</v>
      </c>
      <c r="G13" s="32">
        <f>SUM(G11:G12)</f>
        <v>0</v>
      </c>
      <c r="H13" s="32">
        <f>SUM(H11:H12)</f>
        <v>0</v>
      </c>
      <c r="I13" s="29"/>
    </row>
    <row r="14" spans="1:13" x14ac:dyDescent="0.25">
      <c r="A14" s="23" t="s">
        <v>2</v>
      </c>
      <c r="B14" s="23" t="s">
        <v>2</v>
      </c>
      <c r="C14" s="23" t="s">
        <v>2</v>
      </c>
      <c r="D14" s="23" t="s">
        <v>2</v>
      </c>
      <c r="E14" s="23"/>
      <c r="F14" s="23"/>
      <c r="G14" s="23" t="s">
        <v>2</v>
      </c>
      <c r="H14" s="23" t="s">
        <v>2</v>
      </c>
      <c r="I14" s="29"/>
    </row>
    <row r="15" spans="1:13" x14ac:dyDescent="0.25">
      <c r="A15" s="30" t="s">
        <v>3137</v>
      </c>
      <c r="B15" s="30" t="s">
        <v>3138</v>
      </c>
      <c r="C15" s="31">
        <v>270248.07</v>
      </c>
      <c r="D15" s="31">
        <v>223423.62</v>
      </c>
      <c r="E15" s="31">
        <v>223423.62</v>
      </c>
      <c r="F15" s="31">
        <f>E15</f>
        <v>223423.62</v>
      </c>
      <c r="G15" s="31">
        <v>223423.62</v>
      </c>
      <c r="H15" s="31">
        <f>'Computer '!D23</f>
        <v>270248.06999999995</v>
      </c>
      <c r="I15" s="60"/>
    </row>
    <row r="16" spans="1:13" x14ac:dyDescent="0.25">
      <c r="A16" s="30"/>
      <c r="B16" s="30"/>
      <c r="C16" s="31"/>
      <c r="D16" s="31"/>
      <c r="E16" s="31"/>
      <c r="F16" s="31"/>
      <c r="G16" s="31"/>
      <c r="H16" s="31"/>
      <c r="I16" s="60"/>
    </row>
    <row r="17" spans="1:9" x14ac:dyDescent="0.25">
      <c r="A17" s="23" t="s">
        <v>2176</v>
      </c>
      <c r="B17" s="23" t="s">
        <v>2</v>
      </c>
      <c r="C17" s="29"/>
      <c r="D17" s="29"/>
      <c r="E17" s="29"/>
      <c r="F17" s="29"/>
      <c r="G17" s="29"/>
      <c r="H17" s="29"/>
      <c r="I17" s="29"/>
    </row>
    <row r="18" spans="1:9" x14ac:dyDescent="0.25">
      <c r="A18" s="30" t="s">
        <v>3139</v>
      </c>
      <c r="B18" s="30" t="s">
        <v>2409</v>
      </c>
      <c r="C18" s="31">
        <v>0</v>
      </c>
      <c r="D18" s="31">
        <v>0</v>
      </c>
      <c r="E18" s="31">
        <v>0</v>
      </c>
      <c r="F18" s="31">
        <f>E18</f>
        <v>0</v>
      </c>
      <c r="G18" s="31">
        <v>0</v>
      </c>
      <c r="H18" s="31">
        <v>0</v>
      </c>
      <c r="I18" s="29"/>
    </row>
    <row r="19" spans="1:9" ht="24" x14ac:dyDescent="0.25">
      <c r="A19" s="23" t="s">
        <v>2179</v>
      </c>
      <c r="B19" s="23" t="s">
        <v>2</v>
      </c>
      <c r="C19" s="32">
        <v>0</v>
      </c>
      <c r="D19" s="32">
        <v>0</v>
      </c>
      <c r="E19" s="32">
        <f>E18</f>
        <v>0</v>
      </c>
      <c r="F19" s="32">
        <f>F18</f>
        <v>0</v>
      </c>
      <c r="G19" s="32">
        <f>SUM(G18)</f>
        <v>0</v>
      </c>
      <c r="H19" s="32">
        <f>SUM(H18)</f>
        <v>0</v>
      </c>
      <c r="I19" s="29"/>
    </row>
    <row r="20" spans="1:9" x14ac:dyDescent="0.25">
      <c r="A20" s="23" t="s">
        <v>2</v>
      </c>
      <c r="B20" s="23" t="s">
        <v>2</v>
      </c>
      <c r="C20" s="23" t="s">
        <v>2</v>
      </c>
      <c r="D20" s="23" t="s">
        <v>2</v>
      </c>
      <c r="E20" s="23"/>
      <c r="F20" s="23"/>
      <c r="G20" s="23" t="s">
        <v>2</v>
      </c>
      <c r="H20" s="23" t="s">
        <v>2</v>
      </c>
      <c r="I20" s="29"/>
    </row>
    <row r="21" spans="1:9" x14ac:dyDescent="0.25">
      <c r="A21" s="23" t="s">
        <v>3140</v>
      </c>
      <c r="B21" s="23" t="s">
        <v>2</v>
      </c>
      <c r="C21" s="29"/>
      <c r="D21" s="29"/>
      <c r="E21" s="29"/>
      <c r="F21" s="29"/>
      <c r="G21" s="29"/>
      <c r="H21" s="29"/>
      <c r="I21" s="29"/>
    </row>
    <row r="22" spans="1:9" x14ac:dyDescent="0.25">
      <c r="A22" s="30" t="s">
        <v>3141</v>
      </c>
      <c r="B22" s="30" t="s">
        <v>3138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29"/>
    </row>
    <row r="23" spans="1:9" x14ac:dyDescent="0.25">
      <c r="A23" s="23" t="s">
        <v>3142</v>
      </c>
      <c r="B23" s="23" t="s">
        <v>2</v>
      </c>
      <c r="C23" s="32">
        <v>0</v>
      </c>
      <c r="D23" s="32">
        <v>0</v>
      </c>
      <c r="E23" s="32">
        <f>E22</f>
        <v>0</v>
      </c>
      <c r="F23" s="32">
        <f>F22</f>
        <v>0</v>
      </c>
      <c r="G23" s="32">
        <f>SUM(G22)</f>
        <v>0</v>
      </c>
      <c r="H23" s="32">
        <f>SUM(H22)</f>
        <v>0</v>
      </c>
      <c r="I23" s="29"/>
    </row>
    <row r="24" spans="1:9" x14ac:dyDescent="0.25">
      <c r="A24" s="23" t="s">
        <v>2</v>
      </c>
      <c r="B24" s="23" t="s">
        <v>2</v>
      </c>
      <c r="C24" s="23" t="s">
        <v>2</v>
      </c>
      <c r="D24" s="23" t="s">
        <v>2</v>
      </c>
      <c r="E24" s="23"/>
      <c r="F24" s="23"/>
      <c r="G24" s="23" t="s">
        <v>2</v>
      </c>
      <c r="H24" s="23" t="s">
        <v>2</v>
      </c>
      <c r="I24" s="29"/>
    </row>
    <row r="25" spans="1:9" x14ac:dyDescent="0.25">
      <c r="A25" s="23" t="s">
        <v>2724</v>
      </c>
      <c r="B25" s="23" t="s">
        <v>2</v>
      </c>
      <c r="C25" s="29"/>
      <c r="D25" s="29"/>
      <c r="E25" s="29"/>
      <c r="F25" s="29"/>
      <c r="G25" s="29"/>
      <c r="H25" s="29"/>
      <c r="I25" s="29"/>
    </row>
    <row r="26" spans="1:9" x14ac:dyDescent="0.25">
      <c r="A26" s="109" t="s">
        <v>3143</v>
      </c>
      <c r="B26" s="109" t="s">
        <v>3144</v>
      </c>
      <c r="C26" s="110">
        <v>0</v>
      </c>
      <c r="D26" s="110">
        <v>0</v>
      </c>
      <c r="E26" s="110">
        <v>0</v>
      </c>
      <c r="F26" s="110">
        <v>20000</v>
      </c>
      <c r="G26" s="110">
        <v>20000</v>
      </c>
      <c r="H26" s="110">
        <f>Transfers!$C$81</f>
        <v>0</v>
      </c>
      <c r="I26" s="108"/>
    </row>
    <row r="27" spans="1:9" x14ac:dyDescent="0.25">
      <c r="A27" s="109" t="s">
        <v>3145</v>
      </c>
      <c r="B27" s="109" t="s">
        <v>3146</v>
      </c>
      <c r="C27" s="110">
        <v>0</v>
      </c>
      <c r="D27" s="110">
        <v>0</v>
      </c>
      <c r="E27" s="110">
        <v>0</v>
      </c>
      <c r="F27" s="110">
        <v>100000</v>
      </c>
      <c r="G27" s="110">
        <v>100000</v>
      </c>
      <c r="H27" s="110">
        <f>Transfers!$C$82</f>
        <v>0</v>
      </c>
      <c r="I27" s="108"/>
    </row>
    <row r="28" spans="1:9" x14ac:dyDescent="0.25">
      <c r="A28" s="23" t="s">
        <v>2725</v>
      </c>
      <c r="B28" s="23" t="s">
        <v>2</v>
      </c>
      <c r="C28" s="32">
        <v>0</v>
      </c>
      <c r="D28" s="32">
        <v>0</v>
      </c>
      <c r="E28" s="32">
        <f>E26+E27</f>
        <v>0</v>
      </c>
      <c r="F28" s="32">
        <f>F26+F27</f>
        <v>120000</v>
      </c>
      <c r="G28" s="32">
        <f>SUM(G26:G27)</f>
        <v>120000</v>
      </c>
      <c r="H28" s="32">
        <f>SUM(H26:H27)</f>
        <v>0</v>
      </c>
      <c r="I28" s="29"/>
    </row>
    <row r="29" spans="1:9" x14ac:dyDescent="0.25">
      <c r="A29" s="23" t="s">
        <v>2</v>
      </c>
      <c r="B29" s="23" t="s">
        <v>2</v>
      </c>
      <c r="C29" s="23" t="s">
        <v>2</v>
      </c>
      <c r="D29" s="23" t="s">
        <v>2</v>
      </c>
      <c r="E29" s="23"/>
      <c r="F29" s="23"/>
      <c r="G29" s="23" t="s">
        <v>2</v>
      </c>
      <c r="H29" s="23" t="s">
        <v>2</v>
      </c>
      <c r="I29" s="29"/>
    </row>
    <row r="30" spans="1:9" ht="24" x14ac:dyDescent="0.25">
      <c r="A30" s="23" t="s">
        <v>1897</v>
      </c>
      <c r="B30" s="23" t="s">
        <v>2</v>
      </c>
      <c r="C30" s="32">
        <v>273225.36</v>
      </c>
      <c r="D30" s="32">
        <v>223423.62</v>
      </c>
      <c r="E30" s="32">
        <f>E13+E15+E19+E23+E28</f>
        <v>223423.62</v>
      </c>
      <c r="F30" s="32">
        <f>F13+F15+F19+F23+F28</f>
        <v>343423.62</v>
      </c>
      <c r="G30" s="32">
        <f>G13+G15+G19+G23+G28</f>
        <v>343423.62</v>
      </c>
      <c r="H30" s="32">
        <f>H13+H15+H19+H23+H28</f>
        <v>270248.06999999995</v>
      </c>
      <c r="I30" s="29"/>
    </row>
    <row r="31" spans="1:9" x14ac:dyDescent="0.25">
      <c r="A31" s="1" t="s">
        <v>740</v>
      </c>
      <c r="B31" s="1" t="s">
        <v>2</v>
      </c>
    </row>
    <row r="32" spans="1:9" ht="15" customHeight="1" x14ac:dyDescent="0.25">
      <c r="A32" s="1" t="s">
        <v>41</v>
      </c>
      <c r="B32" s="1" t="s">
        <v>2</v>
      </c>
      <c r="C32" s="40"/>
      <c r="G32" s="40"/>
    </row>
    <row r="33" spans="1:9" ht="15" hidden="1" customHeight="1" x14ac:dyDescent="0.25">
      <c r="A33" s="1" t="s">
        <v>1878</v>
      </c>
      <c r="B33" s="1" t="s">
        <v>2</v>
      </c>
    </row>
    <row r="34" spans="1:9" ht="15" customHeight="1" x14ac:dyDescent="0.25">
      <c r="A34" s="2" t="s">
        <v>1879</v>
      </c>
      <c r="B34" s="2" t="s">
        <v>905</v>
      </c>
      <c r="C34" s="3">
        <v>8055.64</v>
      </c>
      <c r="D34" s="3">
        <v>468.92</v>
      </c>
      <c r="E34" s="3">
        <v>468.92</v>
      </c>
      <c r="F34" s="3">
        <f>E34/9*12</f>
        <v>625.22666666666669</v>
      </c>
      <c r="G34" s="3">
        <v>6000</v>
      </c>
      <c r="H34" s="5">
        <v>6000</v>
      </c>
    </row>
    <row r="35" spans="1:9" x14ac:dyDescent="0.25">
      <c r="A35" s="2" t="s">
        <v>1880</v>
      </c>
      <c r="B35" s="2" t="s">
        <v>1881</v>
      </c>
      <c r="C35" s="3">
        <v>5823.1</v>
      </c>
      <c r="D35" s="3">
        <v>38356.019999999997</v>
      </c>
      <c r="E35" s="3">
        <v>38356.019999999997</v>
      </c>
      <c r="F35" s="3">
        <f t="shared" ref="F35:F41" si="0">E35/9*12</f>
        <v>51141.36</v>
      </c>
      <c r="G35" s="3">
        <v>51500</v>
      </c>
      <c r="H35" s="5">
        <v>51500</v>
      </c>
    </row>
    <row r="36" spans="1:9" ht="15" customHeight="1" x14ac:dyDescent="0.25">
      <c r="A36" s="2" t="s">
        <v>1882</v>
      </c>
      <c r="B36" s="2" t="s">
        <v>1883</v>
      </c>
      <c r="C36" s="3">
        <v>5592.78</v>
      </c>
      <c r="D36" s="3">
        <v>1535.8</v>
      </c>
      <c r="E36" s="3">
        <v>2565.44</v>
      </c>
      <c r="F36" s="3">
        <f t="shared" si="0"/>
        <v>3420.5866666666666</v>
      </c>
      <c r="G36" s="3">
        <v>11000</v>
      </c>
      <c r="H36" s="5">
        <v>11000</v>
      </c>
    </row>
    <row r="37" spans="1:9" ht="15" customHeight="1" x14ac:dyDescent="0.25">
      <c r="A37" s="2" t="s">
        <v>1884</v>
      </c>
      <c r="B37" s="2" t="s">
        <v>1885</v>
      </c>
      <c r="C37" s="3">
        <v>26937.82</v>
      </c>
      <c r="D37" s="3">
        <v>11710.95</v>
      </c>
      <c r="E37" s="3">
        <v>20665.349999999999</v>
      </c>
      <c r="F37" s="3">
        <f t="shared" si="0"/>
        <v>27553.799999999996</v>
      </c>
      <c r="G37" s="3">
        <v>25000</v>
      </c>
      <c r="H37" s="5">
        <v>25000</v>
      </c>
    </row>
    <row r="38" spans="1:9" ht="15" customHeight="1" x14ac:dyDescent="0.25">
      <c r="A38" s="2" t="s">
        <v>1886</v>
      </c>
      <c r="B38" s="2" t="s">
        <v>1887</v>
      </c>
      <c r="C38" s="3">
        <v>52804.55</v>
      </c>
      <c r="D38" s="3">
        <v>22956.79</v>
      </c>
      <c r="E38" s="3">
        <v>36345.599999999999</v>
      </c>
      <c r="F38" s="3">
        <f t="shared" si="0"/>
        <v>48460.799999999996</v>
      </c>
      <c r="G38" s="3">
        <v>65000</v>
      </c>
      <c r="H38" s="5">
        <v>65000</v>
      </c>
    </row>
    <row r="39" spans="1:9" ht="15" customHeight="1" x14ac:dyDescent="0.25">
      <c r="A39" s="2" t="s">
        <v>1888</v>
      </c>
      <c r="B39" s="2" t="s">
        <v>1889</v>
      </c>
      <c r="C39" s="3">
        <v>158811.59</v>
      </c>
      <c r="D39" s="3">
        <v>38381.839999999997</v>
      </c>
      <c r="E39" s="3">
        <v>72983.89</v>
      </c>
      <c r="F39" s="3">
        <f t="shared" si="0"/>
        <v>97311.853333333333</v>
      </c>
      <c r="G39" s="3">
        <v>125000</v>
      </c>
      <c r="H39" s="5">
        <v>115000</v>
      </c>
      <c r="I39" s="41"/>
    </row>
    <row r="40" spans="1:9" ht="15" customHeight="1" x14ac:dyDescent="0.25">
      <c r="A40" s="2" t="s">
        <v>1890</v>
      </c>
      <c r="B40" s="2" t="s">
        <v>1891</v>
      </c>
      <c r="C40" s="3">
        <v>0</v>
      </c>
      <c r="D40" s="3">
        <v>0</v>
      </c>
      <c r="E40" s="3">
        <v>0</v>
      </c>
      <c r="F40" s="3">
        <f t="shared" si="0"/>
        <v>0</v>
      </c>
      <c r="G40" s="3">
        <v>0</v>
      </c>
      <c r="H40" s="5">
        <v>0</v>
      </c>
      <c r="I40" s="41"/>
    </row>
    <row r="41" spans="1:9" ht="24" x14ac:dyDescent="0.25">
      <c r="A41" s="2" t="s">
        <v>1892</v>
      </c>
      <c r="B41" s="2" t="s">
        <v>1893</v>
      </c>
      <c r="C41" s="3">
        <v>0</v>
      </c>
      <c r="D41" s="3">
        <v>0</v>
      </c>
      <c r="E41" s="3">
        <v>0</v>
      </c>
      <c r="F41" s="3">
        <f t="shared" si="0"/>
        <v>0</v>
      </c>
      <c r="G41" s="3">
        <v>0</v>
      </c>
      <c r="H41" s="5">
        <v>0</v>
      </c>
    </row>
    <row r="42" spans="1:9" ht="15" customHeight="1" x14ac:dyDescent="0.25">
      <c r="A42" s="1" t="s">
        <v>1894</v>
      </c>
      <c r="B42" s="1" t="s">
        <v>2</v>
      </c>
      <c r="C42" s="4">
        <v>258025.48</v>
      </c>
      <c r="D42" s="4">
        <v>113410.32</v>
      </c>
      <c r="E42" s="4">
        <f>SUM(E34:E41)</f>
        <v>171385.21999999997</v>
      </c>
      <c r="F42" s="4">
        <f>SUM(F34:F41)</f>
        <v>228513.62666666665</v>
      </c>
      <c r="G42" s="6">
        <f>SUM(G34:G41)</f>
        <v>283500</v>
      </c>
      <c r="H42" s="6">
        <f>SUM(H34:H41)</f>
        <v>273500</v>
      </c>
    </row>
    <row r="43" spans="1:9" hidden="1" x14ac:dyDescent="0.25">
      <c r="A43" s="1" t="s">
        <v>2</v>
      </c>
      <c r="B43" s="1" t="s">
        <v>2</v>
      </c>
      <c r="C43" s="1" t="s">
        <v>2</v>
      </c>
      <c r="D43" s="1" t="s">
        <v>2</v>
      </c>
      <c r="E43" s="1"/>
      <c r="F43" s="1"/>
      <c r="G43" s="1" t="s">
        <v>2</v>
      </c>
      <c r="H43" s="1" t="s">
        <v>2</v>
      </c>
    </row>
    <row r="44" spans="1:9" ht="15" customHeight="1" x14ac:dyDescent="0.25">
      <c r="A44" s="1" t="s">
        <v>557</v>
      </c>
      <c r="B44" s="1" t="s">
        <v>2</v>
      </c>
    </row>
    <row r="45" spans="1:9" ht="15" customHeight="1" x14ac:dyDescent="0.25">
      <c r="A45" s="2" t="s">
        <v>1895</v>
      </c>
      <c r="B45" s="2" t="s">
        <v>1896</v>
      </c>
      <c r="C45" s="3">
        <v>12222.59</v>
      </c>
      <c r="D45" s="3">
        <v>12503.29</v>
      </c>
      <c r="E45" s="3">
        <v>12503.29</v>
      </c>
      <c r="F45" s="3">
        <f>E45/9*12</f>
        <v>16671.053333333333</v>
      </c>
      <c r="G45" s="3">
        <v>125000</v>
      </c>
      <c r="H45" s="5">
        <v>25000</v>
      </c>
    </row>
    <row r="46" spans="1:9" ht="15" customHeight="1" x14ac:dyDescent="0.25">
      <c r="A46" s="1" t="s">
        <v>560</v>
      </c>
      <c r="B46" s="1" t="s">
        <v>2</v>
      </c>
      <c r="C46" s="4">
        <v>12222.59</v>
      </c>
      <c r="D46" s="4">
        <v>12503.29</v>
      </c>
      <c r="E46" s="4">
        <f>E45</f>
        <v>12503.29</v>
      </c>
      <c r="F46" s="4">
        <f>F45</f>
        <v>16671.053333333333</v>
      </c>
      <c r="G46" s="6">
        <f>SUM(G45)</f>
        <v>125000</v>
      </c>
      <c r="H46" s="6">
        <f>SUM(H45)</f>
        <v>25000</v>
      </c>
    </row>
    <row r="47" spans="1:9" x14ac:dyDescent="0.25">
      <c r="A47" s="1" t="s">
        <v>2</v>
      </c>
      <c r="B47" s="1" t="s">
        <v>2</v>
      </c>
      <c r="C47" s="1" t="s">
        <v>2</v>
      </c>
      <c r="D47" s="1" t="s">
        <v>2</v>
      </c>
      <c r="E47" s="1"/>
      <c r="F47" s="1"/>
      <c r="G47" s="1" t="s">
        <v>2</v>
      </c>
      <c r="H47" s="1" t="s">
        <v>2</v>
      </c>
    </row>
    <row r="48" spans="1:9" ht="15" customHeight="1" x14ac:dyDescent="0.25">
      <c r="A48" s="1" t="s">
        <v>1897</v>
      </c>
      <c r="B48" s="1" t="s">
        <v>2</v>
      </c>
      <c r="C48" s="4">
        <v>270248.07</v>
      </c>
      <c r="D48" s="4">
        <v>125913.61</v>
      </c>
      <c r="E48" s="4">
        <f>E42+E46</f>
        <v>183888.50999999998</v>
      </c>
      <c r="F48" s="4">
        <f>F42+F46</f>
        <v>245184.68</v>
      </c>
      <c r="G48" s="6">
        <f>G46+G42</f>
        <v>408500</v>
      </c>
      <c r="H48" s="6">
        <f>H46+H42</f>
        <v>298500</v>
      </c>
    </row>
    <row r="49" spans="1:9" ht="15" customHeight="1" x14ac:dyDescent="0.25">
      <c r="A49" s="291" t="s">
        <v>3147</v>
      </c>
      <c r="B49" s="291"/>
      <c r="C49" s="294">
        <f t="shared" ref="C49:H49" si="1">C7+C30-C48</f>
        <v>100143.51999999996</v>
      </c>
      <c r="D49" s="294">
        <f t="shared" si="1"/>
        <v>197653.53000000003</v>
      </c>
      <c r="E49" s="294">
        <f t="shared" si="1"/>
        <v>139678.63000000003</v>
      </c>
      <c r="F49" s="294">
        <f t="shared" si="1"/>
        <v>198382.46000000002</v>
      </c>
      <c r="G49" s="294">
        <f t="shared" si="1"/>
        <v>35067.140000000014</v>
      </c>
      <c r="H49" s="294">
        <f t="shared" si="1"/>
        <v>170130.52999999997</v>
      </c>
      <c r="I49" s="291"/>
    </row>
    <row r="50" spans="1:9" x14ac:dyDescent="0.25">
      <c r="A50" s="1" t="s">
        <v>2</v>
      </c>
      <c r="B50" s="1" t="s">
        <v>2</v>
      </c>
      <c r="C50" s="36"/>
      <c r="D50" s="1" t="s">
        <v>2</v>
      </c>
      <c r="E50" s="1"/>
      <c r="F50" s="1"/>
      <c r="G50" s="36"/>
      <c r="H50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857FD-7B48-44D1-8521-46481D8D07B1}">
  <sheetPr>
    <tabColor rgb="FF92D050"/>
    <pageSetUpPr fitToPage="1"/>
  </sheetPr>
  <dimension ref="A1:M128"/>
  <sheetViews>
    <sheetView showGridLines="0" zoomScaleNormal="100" workbookViewId="0">
      <pane ySplit="5" topLeftCell="A115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3991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H7-F127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3552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3148</v>
      </c>
      <c r="B7" s="291"/>
      <c r="C7" s="294">
        <v>265421.19</v>
      </c>
      <c r="D7" s="294">
        <v>306422.27</v>
      </c>
      <c r="E7" s="294">
        <v>306422.27</v>
      </c>
      <c r="F7" s="294">
        <v>306422.27</v>
      </c>
      <c r="G7" s="294">
        <v>306422.27</v>
      </c>
      <c r="H7" s="294">
        <f>F127</f>
        <v>713003.88666666672</v>
      </c>
      <c r="I7" s="291"/>
    </row>
    <row r="8" spans="1:13" x14ac:dyDescent="0.25">
      <c r="A8" s="23" t="s">
        <v>1898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30" t="s">
        <v>3149</v>
      </c>
      <c r="B10" s="30" t="s">
        <v>2608</v>
      </c>
      <c r="C10" s="31">
        <v>0</v>
      </c>
      <c r="D10" s="31">
        <v>0</v>
      </c>
      <c r="E10" s="31">
        <v>0</v>
      </c>
      <c r="F10" s="31">
        <f>E10/9*12</f>
        <v>0</v>
      </c>
      <c r="G10" s="31">
        <v>0</v>
      </c>
      <c r="H10" s="31">
        <v>0</v>
      </c>
      <c r="I10" s="29"/>
    </row>
    <row r="11" spans="1:13" x14ac:dyDescent="0.25">
      <c r="A11" s="30" t="s">
        <v>3150</v>
      </c>
      <c r="B11" s="30" t="s">
        <v>2123</v>
      </c>
      <c r="C11" s="31">
        <v>196.49</v>
      </c>
      <c r="D11" s="31">
        <v>0</v>
      </c>
      <c r="E11" s="31">
        <v>0</v>
      </c>
      <c r="F11" s="31">
        <f>E11/9*12</f>
        <v>0</v>
      </c>
      <c r="G11" s="31">
        <v>0</v>
      </c>
      <c r="H11" s="31">
        <v>0</v>
      </c>
      <c r="I11" s="29"/>
    </row>
    <row r="12" spans="1:13" x14ac:dyDescent="0.25">
      <c r="A12" s="30" t="s">
        <v>3151</v>
      </c>
      <c r="B12" s="30" t="s">
        <v>3152</v>
      </c>
      <c r="C12" s="31">
        <v>717045.31</v>
      </c>
      <c r="D12" s="31">
        <v>627809.46</v>
      </c>
      <c r="E12" s="31">
        <v>627809.46</v>
      </c>
      <c r="F12" s="31">
        <f>E12/9*12</f>
        <v>837079.27999999991</v>
      </c>
      <c r="G12" s="31">
        <v>627809.46</v>
      </c>
      <c r="H12" s="31">
        <f>Equipment!C21</f>
        <v>732645.32000000007</v>
      </c>
      <c r="I12" s="29"/>
    </row>
    <row r="13" spans="1:13" x14ac:dyDescent="0.25">
      <c r="A13" s="30"/>
      <c r="B13" s="30"/>
      <c r="C13" s="31"/>
      <c r="D13" s="31"/>
      <c r="E13" s="31"/>
      <c r="F13" s="31"/>
      <c r="G13" s="31"/>
      <c r="H13" s="31"/>
      <c r="I13" s="29"/>
    </row>
    <row r="14" spans="1:13" x14ac:dyDescent="0.25">
      <c r="A14" s="23" t="s">
        <v>2175</v>
      </c>
      <c r="B14" s="23" t="s">
        <v>2</v>
      </c>
      <c r="C14" s="29"/>
      <c r="D14" s="29"/>
      <c r="E14" s="29"/>
      <c r="F14" s="29"/>
      <c r="G14" s="29"/>
      <c r="H14" s="29"/>
      <c r="I14" s="29"/>
    </row>
    <row r="15" spans="1:13" x14ac:dyDescent="0.25">
      <c r="A15" s="23" t="s">
        <v>2176</v>
      </c>
      <c r="B15" s="23" t="s">
        <v>2</v>
      </c>
      <c r="C15" s="29"/>
      <c r="D15" s="29"/>
      <c r="E15" s="29"/>
      <c r="F15" s="29"/>
      <c r="G15" s="29"/>
      <c r="H15" s="29"/>
      <c r="I15" s="29"/>
    </row>
    <row r="16" spans="1:13" x14ac:dyDescent="0.25">
      <c r="A16" s="30" t="s">
        <v>3153</v>
      </c>
      <c r="B16" s="30" t="s">
        <v>2409</v>
      </c>
      <c r="C16" s="31">
        <v>39.229999999999997</v>
      </c>
      <c r="D16" s="31">
        <v>27.38</v>
      </c>
      <c r="E16" s="31">
        <v>80.650000000000006</v>
      </c>
      <c r="F16" s="31">
        <f>E16/9*12</f>
        <v>107.53333333333335</v>
      </c>
      <c r="G16" s="31">
        <v>0</v>
      </c>
      <c r="H16" s="31">
        <v>0</v>
      </c>
      <c r="I16" s="29"/>
    </row>
    <row r="17" spans="1:9" x14ac:dyDescent="0.25">
      <c r="A17" s="30" t="s">
        <v>3154</v>
      </c>
      <c r="B17" s="30" t="s">
        <v>2703</v>
      </c>
      <c r="C17" s="31">
        <v>0</v>
      </c>
      <c r="D17" s="31">
        <v>0</v>
      </c>
      <c r="E17" s="31">
        <v>0</v>
      </c>
      <c r="F17" s="31">
        <f>E17/9*12</f>
        <v>0</v>
      </c>
      <c r="G17" s="31">
        <v>0</v>
      </c>
      <c r="H17" s="31">
        <v>0</v>
      </c>
      <c r="I17" s="29"/>
    </row>
    <row r="18" spans="1:9" ht="24" x14ac:dyDescent="0.25">
      <c r="A18" s="23" t="s">
        <v>2179</v>
      </c>
      <c r="B18" s="23" t="s">
        <v>2</v>
      </c>
      <c r="C18" s="32">
        <v>39.229999999999997</v>
      </c>
      <c r="D18" s="32">
        <v>27.38</v>
      </c>
      <c r="E18" s="32">
        <f>SUM(E16:E17)</f>
        <v>80.650000000000006</v>
      </c>
      <c r="F18" s="32">
        <f>SUM(F16:F17)</f>
        <v>107.53333333333335</v>
      </c>
      <c r="G18" s="32">
        <f>SUM(G16:G17)</f>
        <v>0</v>
      </c>
      <c r="H18" s="32">
        <f>SUM(H16:H17)</f>
        <v>0</v>
      </c>
      <c r="I18" s="29"/>
    </row>
    <row r="19" spans="1:9" x14ac:dyDescent="0.25">
      <c r="A19" s="23" t="s">
        <v>2</v>
      </c>
      <c r="B19" s="23" t="s">
        <v>2</v>
      </c>
      <c r="C19" s="23" t="s">
        <v>2</v>
      </c>
      <c r="D19" s="23" t="s">
        <v>2</v>
      </c>
      <c r="E19" s="23"/>
      <c r="F19" s="23"/>
      <c r="G19" s="23" t="s">
        <v>2</v>
      </c>
      <c r="H19" s="23" t="s">
        <v>2</v>
      </c>
      <c r="I19" s="29"/>
    </row>
    <row r="20" spans="1:9" ht="24" x14ac:dyDescent="0.25">
      <c r="A20" s="23" t="s">
        <v>2581</v>
      </c>
      <c r="B20" s="23" t="s">
        <v>2</v>
      </c>
      <c r="C20" s="29"/>
      <c r="D20" s="29"/>
      <c r="E20" s="29"/>
      <c r="F20" s="29"/>
      <c r="G20" s="29"/>
      <c r="H20" s="29"/>
      <c r="I20" s="29"/>
    </row>
    <row r="21" spans="1:9" x14ac:dyDescent="0.25">
      <c r="A21" s="30" t="s">
        <v>3155</v>
      </c>
      <c r="B21" s="30" t="s">
        <v>3156</v>
      </c>
      <c r="C21" s="31">
        <v>20229</v>
      </c>
      <c r="D21" s="31">
        <v>26928</v>
      </c>
      <c r="E21" s="31">
        <v>36543</v>
      </c>
      <c r="F21" s="31">
        <f t="shared" ref="F21:F22" si="0">E21/9*12</f>
        <v>48724</v>
      </c>
      <c r="G21" s="31">
        <v>0</v>
      </c>
      <c r="H21" s="31">
        <v>0</v>
      </c>
      <c r="I21" s="29"/>
    </row>
    <row r="22" spans="1:9" x14ac:dyDescent="0.25">
      <c r="A22" s="30" t="s">
        <v>3157</v>
      </c>
      <c r="B22" s="30" t="s">
        <v>3158</v>
      </c>
      <c r="C22" s="31">
        <v>1142.8399999999999</v>
      </c>
      <c r="D22" s="31">
        <v>0</v>
      </c>
      <c r="E22" s="31">
        <v>0</v>
      </c>
      <c r="F22" s="31">
        <f t="shared" si="0"/>
        <v>0</v>
      </c>
      <c r="G22" s="31">
        <v>0</v>
      </c>
      <c r="H22" s="31">
        <v>0</v>
      </c>
      <c r="I22" s="29"/>
    </row>
    <row r="23" spans="1:9" ht="24" x14ac:dyDescent="0.25">
      <c r="A23" s="23" t="s">
        <v>2585</v>
      </c>
      <c r="B23" s="23" t="s">
        <v>2</v>
      </c>
      <c r="C23" s="32">
        <v>21371.84</v>
      </c>
      <c r="D23" s="32">
        <v>26928</v>
      </c>
      <c r="E23" s="32">
        <f>SUM(E21:E22)</f>
        <v>36543</v>
      </c>
      <c r="F23" s="32">
        <f>SUM(F21:F22)</f>
        <v>48724</v>
      </c>
      <c r="G23" s="32">
        <f>SUM(G21:G22)</f>
        <v>0</v>
      </c>
      <c r="H23" s="32">
        <f>SUM(H21:H22)</f>
        <v>0</v>
      </c>
      <c r="I23" s="29"/>
    </row>
    <row r="24" spans="1:9" x14ac:dyDescent="0.25">
      <c r="A24" s="23" t="s">
        <v>2</v>
      </c>
      <c r="B24" s="23" t="s">
        <v>2</v>
      </c>
      <c r="C24" s="23" t="s">
        <v>2</v>
      </c>
      <c r="D24" s="23" t="s">
        <v>2</v>
      </c>
      <c r="E24" s="23"/>
      <c r="F24" s="23"/>
      <c r="G24" s="23" t="s">
        <v>2</v>
      </c>
      <c r="H24" s="23" t="s">
        <v>2</v>
      </c>
      <c r="I24" s="29"/>
    </row>
    <row r="25" spans="1:9" ht="24" x14ac:dyDescent="0.25">
      <c r="A25" s="23" t="s">
        <v>2180</v>
      </c>
      <c r="B25" s="23" t="s">
        <v>2</v>
      </c>
      <c r="C25" s="32">
        <v>21411.07</v>
      </c>
      <c r="D25" s="32">
        <v>26955.38</v>
      </c>
      <c r="E25" s="32">
        <f>E18+E23</f>
        <v>36623.65</v>
      </c>
      <c r="F25" s="32">
        <f>F18+F23</f>
        <v>48831.533333333333</v>
      </c>
      <c r="G25" s="32">
        <f>G23+G18</f>
        <v>0</v>
      </c>
      <c r="H25" s="32">
        <f>H23+H18</f>
        <v>0</v>
      </c>
      <c r="I25" s="29"/>
    </row>
    <row r="26" spans="1:9" x14ac:dyDescent="0.25">
      <c r="A26" s="23" t="s">
        <v>2</v>
      </c>
      <c r="B26" s="23" t="s">
        <v>2</v>
      </c>
      <c r="C26" s="23" t="s">
        <v>2</v>
      </c>
      <c r="D26" s="23" t="s">
        <v>2</v>
      </c>
      <c r="E26" s="23"/>
      <c r="F26" s="23"/>
      <c r="G26" s="23" t="s">
        <v>2</v>
      </c>
      <c r="H26" s="23" t="s">
        <v>2</v>
      </c>
      <c r="I26" s="29"/>
    </row>
    <row r="27" spans="1:9" x14ac:dyDescent="0.25">
      <c r="A27" s="23" t="s">
        <v>2532</v>
      </c>
      <c r="B27" s="23" t="s">
        <v>2</v>
      </c>
      <c r="C27" s="29"/>
      <c r="D27" s="29"/>
      <c r="E27" s="29"/>
      <c r="F27" s="29"/>
      <c r="G27" s="29"/>
      <c r="H27" s="29"/>
      <c r="I27" s="29"/>
    </row>
    <row r="28" spans="1:9" x14ac:dyDescent="0.25">
      <c r="A28" s="30" t="s">
        <v>3159</v>
      </c>
      <c r="B28" s="30" t="s">
        <v>3160</v>
      </c>
      <c r="C28" s="31">
        <v>0</v>
      </c>
      <c r="D28" s="31">
        <v>0</v>
      </c>
      <c r="E28" s="31">
        <v>0</v>
      </c>
      <c r="F28" s="31">
        <f t="shared" ref="F28" si="1">E28/9*12</f>
        <v>0</v>
      </c>
      <c r="G28" s="31">
        <v>0</v>
      </c>
      <c r="H28" s="31">
        <v>0</v>
      </c>
      <c r="I28" s="29"/>
    </row>
    <row r="29" spans="1:9" ht="24" x14ac:dyDescent="0.25">
      <c r="A29" s="23" t="s">
        <v>2537</v>
      </c>
      <c r="B29" s="23" t="s">
        <v>2</v>
      </c>
      <c r="C29" s="32">
        <v>0</v>
      </c>
      <c r="D29" s="32">
        <v>0</v>
      </c>
      <c r="E29" s="32">
        <f>E28</f>
        <v>0</v>
      </c>
      <c r="F29" s="32">
        <f>F28</f>
        <v>0</v>
      </c>
      <c r="G29" s="32">
        <f>SUM(G28)</f>
        <v>0</v>
      </c>
      <c r="H29" s="32">
        <f>SUM(H28)</f>
        <v>0</v>
      </c>
      <c r="I29" s="29"/>
    </row>
    <row r="30" spans="1:9" x14ac:dyDescent="0.25">
      <c r="A30" s="23" t="s">
        <v>2</v>
      </c>
      <c r="B30" s="23" t="s">
        <v>2</v>
      </c>
      <c r="C30" s="23" t="s">
        <v>2</v>
      </c>
      <c r="D30" s="23" t="s">
        <v>2</v>
      </c>
      <c r="E30" s="23"/>
      <c r="F30" s="23"/>
      <c r="G30" s="23" t="s">
        <v>2</v>
      </c>
      <c r="H30" s="23" t="s">
        <v>2</v>
      </c>
      <c r="I30" s="29"/>
    </row>
    <row r="31" spans="1:9" x14ac:dyDescent="0.25">
      <c r="A31" s="23" t="s">
        <v>2553</v>
      </c>
      <c r="B31" s="23" t="s">
        <v>2</v>
      </c>
      <c r="C31" s="29"/>
      <c r="D31" s="29"/>
      <c r="E31" s="29"/>
      <c r="F31" s="29"/>
      <c r="G31" s="29"/>
      <c r="H31" s="29"/>
      <c r="I31" s="29"/>
    </row>
    <row r="32" spans="1:9" x14ac:dyDescent="0.25">
      <c r="A32" s="23"/>
      <c r="B32" s="23"/>
      <c r="C32" s="29"/>
      <c r="D32" s="29"/>
      <c r="E32" s="29"/>
      <c r="F32" s="29"/>
      <c r="G32" s="29"/>
      <c r="H32" s="29"/>
      <c r="I32" s="29"/>
    </row>
    <row r="33" spans="1:13" x14ac:dyDescent="0.25">
      <c r="A33" s="30" t="s">
        <v>3161</v>
      </c>
      <c r="B33" s="30" t="s">
        <v>3162</v>
      </c>
      <c r="C33" s="31">
        <v>0</v>
      </c>
      <c r="D33" s="31">
        <v>0</v>
      </c>
      <c r="E33" s="31">
        <v>0</v>
      </c>
      <c r="F33" s="31">
        <f t="shared" ref="F33" si="2">E33/9*12</f>
        <v>0</v>
      </c>
      <c r="G33" s="31">
        <v>0</v>
      </c>
      <c r="H33" s="31">
        <v>0</v>
      </c>
      <c r="I33" s="29"/>
    </row>
    <row r="34" spans="1:13" x14ac:dyDescent="0.25">
      <c r="A34" s="30"/>
      <c r="B34" s="30"/>
      <c r="C34" s="31"/>
      <c r="D34" s="31"/>
      <c r="E34" s="31"/>
      <c r="F34" s="31"/>
      <c r="G34" s="31"/>
      <c r="H34" s="31"/>
      <c r="I34" s="29"/>
    </row>
    <row r="35" spans="1:13" x14ac:dyDescent="0.25">
      <c r="A35" s="23" t="s">
        <v>2666</v>
      </c>
      <c r="B35" s="23" t="s">
        <v>2</v>
      </c>
      <c r="C35" s="29"/>
      <c r="D35" s="29"/>
      <c r="E35" s="29"/>
      <c r="F35" s="29"/>
      <c r="G35" s="29"/>
      <c r="H35" s="29"/>
      <c r="I35" s="29"/>
    </row>
    <row r="36" spans="1:13" x14ac:dyDescent="0.25">
      <c r="A36" s="30" t="s">
        <v>3163</v>
      </c>
      <c r="B36" s="30" t="s">
        <v>3013</v>
      </c>
      <c r="C36" s="31">
        <v>17935.5</v>
      </c>
      <c r="D36" s="31">
        <v>0</v>
      </c>
      <c r="E36" s="31">
        <v>0</v>
      </c>
      <c r="F36" s="31">
        <f t="shared" ref="F36:F37" si="3">E36/9*12</f>
        <v>0</v>
      </c>
      <c r="G36" s="31">
        <v>0</v>
      </c>
      <c r="H36" s="31">
        <v>0</v>
      </c>
      <c r="I36" s="29"/>
    </row>
    <row r="37" spans="1:13" x14ac:dyDescent="0.25">
      <c r="A37" s="30" t="s">
        <v>3164</v>
      </c>
      <c r="B37" s="30" t="s">
        <v>2669</v>
      </c>
      <c r="C37" s="31">
        <v>1582.21</v>
      </c>
      <c r="D37" s="31">
        <v>13287.73</v>
      </c>
      <c r="E37" s="31">
        <v>16540.57</v>
      </c>
      <c r="F37" s="31">
        <f t="shared" si="3"/>
        <v>22054.093333333334</v>
      </c>
      <c r="G37" s="31">
        <v>0</v>
      </c>
      <c r="H37" s="31">
        <v>0</v>
      </c>
      <c r="I37" s="29"/>
    </row>
    <row r="38" spans="1:13" ht="24" x14ac:dyDescent="0.25">
      <c r="A38" s="23" t="s">
        <v>3165</v>
      </c>
      <c r="B38" s="23" t="s">
        <v>2</v>
      </c>
      <c r="C38" s="32">
        <v>19517.71</v>
      </c>
      <c r="D38" s="32">
        <v>13287.73</v>
      </c>
      <c r="E38" s="32">
        <f>SUM(E36:E37)</f>
        <v>16540.57</v>
      </c>
      <c r="F38" s="32">
        <f>SUM(F36:F37)</f>
        <v>22054.093333333334</v>
      </c>
      <c r="G38" s="32">
        <f>SUM(G36:G37)</f>
        <v>0</v>
      </c>
      <c r="H38" s="32">
        <f>SUM(H36:H37)</f>
        <v>0</v>
      </c>
      <c r="I38" s="29"/>
    </row>
    <row r="39" spans="1:13" x14ac:dyDescent="0.25">
      <c r="A39" s="23" t="s">
        <v>2</v>
      </c>
      <c r="B39" s="23" t="s">
        <v>2</v>
      </c>
      <c r="C39" s="23" t="s">
        <v>2</v>
      </c>
      <c r="D39" s="23" t="s">
        <v>2</v>
      </c>
      <c r="E39" s="23"/>
      <c r="F39" s="23"/>
      <c r="G39" s="23" t="s">
        <v>2</v>
      </c>
      <c r="H39" s="23" t="s">
        <v>2</v>
      </c>
      <c r="I39" s="29"/>
    </row>
    <row r="40" spans="1:13" x14ac:dyDescent="0.25">
      <c r="A40" s="23" t="s">
        <v>2724</v>
      </c>
      <c r="B40" s="23" t="s">
        <v>2</v>
      </c>
      <c r="C40" s="29"/>
      <c r="D40" s="29"/>
      <c r="E40" s="29"/>
      <c r="F40" s="29"/>
      <c r="G40" s="29"/>
      <c r="H40" s="29"/>
      <c r="I40" s="29"/>
    </row>
    <row r="41" spans="1:13" x14ac:dyDescent="0.25">
      <c r="A41" s="109" t="s">
        <v>3166</v>
      </c>
      <c r="B41" s="109" t="s">
        <v>3167</v>
      </c>
      <c r="C41" s="110">
        <v>74253.83</v>
      </c>
      <c r="D41" s="110">
        <v>0</v>
      </c>
      <c r="E41" s="110">
        <v>0</v>
      </c>
      <c r="F41" s="110">
        <v>80000</v>
      </c>
      <c r="G41" s="110">
        <v>80000</v>
      </c>
      <c r="H41" s="110">
        <f>Transfers!$C$83+Transfers!$C$84+Transfers!$C$85+Transfers!$C$86+Transfers!$C$87+Transfers!$C$88+Transfers!$C$89+Transfers!$C$90+Transfers!$C$91+Transfers!$C$92</f>
        <v>80000</v>
      </c>
      <c r="I41" s="108"/>
    </row>
    <row r="42" spans="1:13" x14ac:dyDescent="0.25">
      <c r="A42" s="109" t="s">
        <v>3168</v>
      </c>
      <c r="B42" s="109" t="s">
        <v>3169</v>
      </c>
      <c r="C42" s="110">
        <v>126350.08</v>
      </c>
      <c r="D42" s="110">
        <v>0</v>
      </c>
      <c r="E42" s="110">
        <v>0</v>
      </c>
      <c r="F42" s="110">
        <v>166750</v>
      </c>
      <c r="G42" s="110">
        <v>166750</v>
      </c>
      <c r="H42" s="110">
        <f>Transfers!$C$98+Transfers!$C$99+Transfers!$C$100+Transfers!$C$101+Transfers!$C$102+Transfers!$C$103+Transfers!$C$104+Transfers!$C$105+Transfers!$C$106+Transfers!$C$107+Transfers!$C$108+Transfers!$C$109+Transfers!$C$110+Transfers!$C$111+Transfers!$C$112+Transfers!$C$113</f>
        <v>71750</v>
      </c>
      <c r="I42" s="108"/>
    </row>
    <row r="43" spans="1:13" x14ac:dyDescent="0.25">
      <c r="A43" s="109" t="s">
        <v>3170</v>
      </c>
      <c r="B43" s="109" t="s">
        <v>3171</v>
      </c>
      <c r="C43" s="110">
        <v>67717.850000000006</v>
      </c>
      <c r="D43" s="110">
        <v>0</v>
      </c>
      <c r="E43" s="110">
        <v>0</v>
      </c>
      <c r="F43" s="110">
        <v>114250</v>
      </c>
      <c r="G43" s="110">
        <v>114250</v>
      </c>
      <c r="H43" s="110">
        <f>Transfers!$C$118+Transfers!$C$119+Transfers!$C$120+Transfers!$C$121+Transfers!$C$122+Transfers!$C$123+Transfers!$C$124+Transfers!$C$125+Transfers!$C$126+Transfers!$C$127+Transfers!$C$128+Transfers!$C$129+Transfers!$C$130</f>
        <v>66750</v>
      </c>
      <c r="I43" s="108"/>
    </row>
    <row r="44" spans="1:13" x14ac:dyDescent="0.25">
      <c r="A44" s="109" t="s">
        <v>3172</v>
      </c>
      <c r="B44" s="109" t="s">
        <v>3173</v>
      </c>
      <c r="C44" s="110">
        <v>108359.54</v>
      </c>
      <c r="D44" s="110">
        <v>0</v>
      </c>
      <c r="E44" s="110">
        <v>0</v>
      </c>
      <c r="F44" s="110">
        <v>94250</v>
      </c>
      <c r="G44" s="110">
        <v>94250</v>
      </c>
      <c r="H44" s="110">
        <f>Transfers!$C$135+Transfers!$C$136+Transfers!$C$137+Transfers!$C$138+Transfers!$C$139+Transfers!$C$140+Transfers!$C$141+Transfers!$C$142+Transfers!$C$143+Transfers!$C$144+Transfers!$C$145+Transfers!$C$146+Transfers!$C$147</f>
        <v>94250</v>
      </c>
      <c r="I44" s="108"/>
    </row>
    <row r="45" spans="1:13" x14ac:dyDescent="0.25">
      <c r="A45" s="109" t="s">
        <v>3174</v>
      </c>
      <c r="B45" s="109" t="s">
        <v>3175</v>
      </c>
      <c r="C45" s="110">
        <v>166991.78</v>
      </c>
      <c r="D45" s="110">
        <v>0</v>
      </c>
      <c r="E45" s="110">
        <v>0</v>
      </c>
      <c r="F45" s="110">
        <v>121750</v>
      </c>
      <c r="G45" s="110">
        <v>121750</v>
      </c>
      <c r="H45" s="110">
        <f>Transfers!$C$152+Transfers!$C$153+Transfers!$C$154+Transfers!$C$155+Transfers!$C$156+Transfers!$C$157+Transfers!$C$158+Transfers!$C$159+Transfers!$C$160+Transfers!$C$161+Transfers!$C$162</f>
        <v>74250</v>
      </c>
      <c r="I45" s="108"/>
    </row>
    <row r="46" spans="1:13" x14ac:dyDescent="0.25">
      <c r="A46" s="109" t="s">
        <v>3176</v>
      </c>
      <c r="B46" s="109" t="s">
        <v>3177</v>
      </c>
      <c r="C46" s="110">
        <v>0</v>
      </c>
      <c r="D46" s="110">
        <v>0</v>
      </c>
      <c r="E46" s="110">
        <v>0</v>
      </c>
      <c r="F46" s="110">
        <v>60000</v>
      </c>
      <c r="G46" s="110">
        <v>60000</v>
      </c>
      <c r="H46" s="110">
        <f>Transfers!$C$165</f>
        <v>0</v>
      </c>
      <c r="I46" s="108"/>
    </row>
    <row r="47" spans="1:13" x14ac:dyDescent="0.25">
      <c r="A47" s="109" t="s">
        <v>3178</v>
      </c>
      <c r="B47" s="109" t="s">
        <v>3179</v>
      </c>
      <c r="C47" s="110">
        <v>0</v>
      </c>
      <c r="D47" s="110">
        <v>0</v>
      </c>
      <c r="E47" s="110">
        <v>0</v>
      </c>
      <c r="F47" s="110">
        <v>50000</v>
      </c>
      <c r="G47" s="110">
        <v>50000</v>
      </c>
      <c r="H47" s="110">
        <f>Transfers!$C$166</f>
        <v>0</v>
      </c>
      <c r="I47" s="108"/>
      <c r="L47" s="48"/>
      <c r="M47" s="48"/>
    </row>
    <row r="48" spans="1:13" x14ac:dyDescent="0.25">
      <c r="A48" s="23" t="s">
        <v>2725</v>
      </c>
      <c r="B48" s="23" t="s">
        <v>2</v>
      </c>
      <c r="C48" s="32">
        <v>543673.07999999996</v>
      </c>
      <c r="D48" s="32">
        <v>0</v>
      </c>
      <c r="E48" s="32">
        <f>SUM(E41:E47)</f>
        <v>0</v>
      </c>
      <c r="F48" s="32">
        <f>SUM(F41:F47)</f>
        <v>687000</v>
      </c>
      <c r="G48" s="32">
        <f>SUM(G41:G47)</f>
        <v>687000</v>
      </c>
      <c r="H48" s="32">
        <f>SUM(H41:H47)</f>
        <v>387000</v>
      </c>
      <c r="I48" s="29"/>
    </row>
    <row r="49" spans="1:13" x14ac:dyDescent="0.25">
      <c r="A49" s="23" t="s">
        <v>2</v>
      </c>
      <c r="B49" s="23" t="s">
        <v>2</v>
      </c>
      <c r="C49" s="23" t="s">
        <v>2</v>
      </c>
      <c r="D49" s="23" t="s">
        <v>2</v>
      </c>
      <c r="E49" s="23"/>
      <c r="F49" s="23"/>
      <c r="G49" s="23" t="s">
        <v>2</v>
      </c>
      <c r="H49" s="23" t="s">
        <v>2</v>
      </c>
      <c r="I49" s="29"/>
      <c r="M49" s="41"/>
    </row>
    <row r="50" spans="1:13" ht="24" x14ac:dyDescent="0.25">
      <c r="A50" s="23" t="s">
        <v>2556</v>
      </c>
      <c r="B50" s="23" t="s">
        <v>2</v>
      </c>
      <c r="C50" s="32">
        <v>563190.79</v>
      </c>
      <c r="D50" s="32">
        <v>13287.73</v>
      </c>
      <c r="E50" s="32">
        <f>E38+E48</f>
        <v>16540.57</v>
      </c>
      <c r="F50" s="32">
        <f>F38+F48</f>
        <v>709054.09333333338</v>
      </c>
      <c r="G50" s="32">
        <f>G48+G38+G33</f>
        <v>687000</v>
      </c>
      <c r="H50" s="32">
        <f>H48+H38+H33</f>
        <v>387000</v>
      </c>
      <c r="I50" s="29"/>
    </row>
    <row r="51" spans="1:13" x14ac:dyDescent="0.25">
      <c r="A51" s="23" t="s">
        <v>2</v>
      </c>
      <c r="B51" s="23" t="s">
        <v>2</v>
      </c>
      <c r="C51" s="23" t="s">
        <v>2</v>
      </c>
      <c r="D51" s="23" t="s">
        <v>2</v>
      </c>
      <c r="E51" s="23"/>
      <c r="F51" s="23"/>
      <c r="G51" s="23" t="s">
        <v>2</v>
      </c>
      <c r="H51" s="23" t="s">
        <v>2</v>
      </c>
      <c r="I51" s="29"/>
    </row>
    <row r="52" spans="1:13" x14ac:dyDescent="0.25">
      <c r="A52" s="23" t="s">
        <v>1999</v>
      </c>
      <c r="B52" s="23" t="s">
        <v>2</v>
      </c>
      <c r="C52" s="32">
        <v>1301843.6599999999</v>
      </c>
      <c r="D52" s="32">
        <v>668052.56999999995</v>
      </c>
      <c r="E52" s="32">
        <f>SUM(E10:E12)+E25+E29+E33+E50</f>
        <v>680973.67999999993</v>
      </c>
      <c r="F52" s="32">
        <f>SUM(F10:F12)+F25+F29+F33+F50</f>
        <v>1594964.9066666667</v>
      </c>
      <c r="G52" s="32">
        <v>1314809.46</v>
      </c>
      <c r="H52" s="32">
        <f>H50+H29+H25+SUM(H10:H12)</f>
        <v>1119645.32</v>
      </c>
      <c r="I52" s="29"/>
    </row>
    <row r="53" spans="1:13" x14ac:dyDescent="0.25">
      <c r="A53" s="1" t="s">
        <v>740</v>
      </c>
      <c r="B53" s="1" t="s">
        <v>2</v>
      </c>
      <c r="C53" s="1" t="s">
        <v>2</v>
      </c>
      <c r="D53" s="1" t="s">
        <v>2</v>
      </c>
      <c r="E53" s="1"/>
      <c r="F53" s="1"/>
      <c r="G53" s="1" t="s">
        <v>2</v>
      </c>
      <c r="H53" s="1" t="s">
        <v>2</v>
      </c>
    </row>
    <row r="54" spans="1:13" ht="15" customHeight="1" x14ac:dyDescent="0.25">
      <c r="A54" s="1" t="s">
        <v>1898</v>
      </c>
      <c r="B54" s="1" t="s">
        <v>2</v>
      </c>
    </row>
    <row r="55" spans="1:13" ht="15" customHeight="1" x14ac:dyDescent="0.25">
      <c r="A55" s="2" t="s">
        <v>1899</v>
      </c>
      <c r="B55" s="2" t="s">
        <v>1900</v>
      </c>
      <c r="C55" s="3">
        <v>75387.66</v>
      </c>
      <c r="D55" s="3">
        <v>0</v>
      </c>
      <c r="E55" s="3">
        <v>0</v>
      </c>
      <c r="F55" s="3">
        <f>G55</f>
        <v>108378.67</v>
      </c>
      <c r="G55" s="3">
        <v>108378.67</v>
      </c>
      <c r="H55" s="302">
        <v>110000</v>
      </c>
    </row>
    <row r="56" spans="1:13" ht="15" customHeight="1" x14ac:dyDescent="0.25">
      <c r="A56" s="2" t="s">
        <v>1901</v>
      </c>
      <c r="B56" s="2" t="s">
        <v>108</v>
      </c>
      <c r="C56" s="3">
        <v>127710.65</v>
      </c>
      <c r="D56" s="3">
        <v>76439.740000000005</v>
      </c>
      <c r="E56" s="3">
        <v>126152.1</v>
      </c>
      <c r="F56" s="3">
        <f t="shared" ref="F56:F77" si="4">E56/9*12</f>
        <v>168202.80000000002</v>
      </c>
      <c r="G56" s="3">
        <v>144330.57</v>
      </c>
      <c r="H56" s="302">
        <v>163781.09</v>
      </c>
    </row>
    <row r="57" spans="1:13" ht="15" customHeight="1" x14ac:dyDescent="0.25">
      <c r="A57" s="2" t="s">
        <v>1902</v>
      </c>
      <c r="B57" s="2" t="s">
        <v>569</v>
      </c>
      <c r="C57" s="3">
        <v>0</v>
      </c>
      <c r="D57" s="3">
        <v>0</v>
      </c>
      <c r="E57" s="3">
        <v>0</v>
      </c>
      <c r="F57" s="3">
        <f t="shared" si="4"/>
        <v>0</v>
      </c>
      <c r="G57" s="3">
        <v>0</v>
      </c>
      <c r="H57" s="302">
        <f t="shared" ref="H57" si="5">G57*1.055</f>
        <v>0</v>
      </c>
    </row>
    <row r="58" spans="1:13" ht="15" customHeight="1" x14ac:dyDescent="0.25">
      <c r="A58" s="2" t="s">
        <v>1903</v>
      </c>
      <c r="B58" s="2" t="s">
        <v>29</v>
      </c>
      <c r="C58" s="3">
        <v>25675.13</v>
      </c>
      <c r="D58" s="3">
        <v>18374.240000000002</v>
      </c>
      <c r="E58" s="3">
        <v>29724.28</v>
      </c>
      <c r="F58" s="3">
        <f t="shared" si="4"/>
        <v>39632.373333333329</v>
      </c>
      <c r="G58" s="3">
        <v>46158.14</v>
      </c>
      <c r="H58" s="302">
        <v>47355.86</v>
      </c>
    </row>
    <row r="59" spans="1:13" ht="15" customHeight="1" x14ac:dyDescent="0.25">
      <c r="A59" s="2" t="s">
        <v>1904</v>
      </c>
      <c r="B59" s="2" t="s">
        <v>128</v>
      </c>
      <c r="C59" s="3">
        <v>2878.54</v>
      </c>
      <c r="D59" s="3">
        <v>1436.91</v>
      </c>
      <c r="E59" s="3">
        <v>2313.2800000000002</v>
      </c>
      <c r="F59" s="3">
        <f t="shared" si="4"/>
        <v>3084.3733333333339</v>
      </c>
      <c r="G59" s="3">
        <v>3216</v>
      </c>
      <c r="H59" s="302">
        <v>3080.22</v>
      </c>
    </row>
    <row r="60" spans="1:13" ht="15" customHeight="1" x14ac:dyDescent="0.25">
      <c r="A60" s="2" t="s">
        <v>1905</v>
      </c>
      <c r="B60" s="2" t="s">
        <v>33</v>
      </c>
      <c r="C60" s="3">
        <v>17129.64</v>
      </c>
      <c r="D60" s="3">
        <v>9042.2800000000007</v>
      </c>
      <c r="E60" s="3">
        <v>14938.56</v>
      </c>
      <c r="F60" s="3">
        <f t="shared" si="4"/>
        <v>19918.079999999998</v>
      </c>
      <c r="G60" s="3">
        <v>17697.63</v>
      </c>
      <c r="H60" s="302">
        <v>17017.900000000001</v>
      </c>
    </row>
    <row r="61" spans="1:13" ht="15" customHeight="1" x14ac:dyDescent="0.25">
      <c r="A61" s="2" t="s">
        <v>1906</v>
      </c>
      <c r="B61" s="2" t="s">
        <v>11</v>
      </c>
      <c r="C61" s="3">
        <v>9673.85</v>
      </c>
      <c r="D61" s="3">
        <v>5776.74</v>
      </c>
      <c r="E61" s="3">
        <v>9536.08</v>
      </c>
      <c r="F61" s="3">
        <f t="shared" si="4"/>
        <v>12714.773333333334</v>
      </c>
      <c r="G61" s="3">
        <v>11041.29</v>
      </c>
      <c r="H61" s="302">
        <v>12529.25</v>
      </c>
    </row>
    <row r="62" spans="1:13" ht="15" customHeight="1" x14ac:dyDescent="0.25">
      <c r="A62" s="2" t="s">
        <v>1907</v>
      </c>
      <c r="B62" s="2" t="s">
        <v>13</v>
      </c>
      <c r="C62" s="3">
        <v>187.23</v>
      </c>
      <c r="D62" s="3">
        <v>163.34</v>
      </c>
      <c r="E62" s="3">
        <v>269.38</v>
      </c>
      <c r="F62" s="3">
        <f t="shared" si="4"/>
        <v>359.17333333333335</v>
      </c>
      <c r="G62" s="3">
        <v>212.17</v>
      </c>
      <c r="H62" s="302">
        <v>357.76</v>
      </c>
    </row>
    <row r="63" spans="1:13" ht="15" customHeight="1" x14ac:dyDescent="0.25">
      <c r="A63" s="2" t="s">
        <v>1908</v>
      </c>
      <c r="B63" s="2" t="s">
        <v>458</v>
      </c>
      <c r="C63" s="3">
        <v>501.24</v>
      </c>
      <c r="D63" s="3">
        <v>110.7</v>
      </c>
      <c r="E63" s="3">
        <v>140.58000000000001</v>
      </c>
      <c r="F63" s="3">
        <f t="shared" si="4"/>
        <v>187.44</v>
      </c>
      <c r="G63" s="3">
        <v>446.32</v>
      </c>
      <c r="H63" s="302">
        <v>441.49</v>
      </c>
    </row>
    <row r="64" spans="1:13" ht="15" customHeight="1" x14ac:dyDescent="0.25">
      <c r="A64" s="2" t="s">
        <v>1909</v>
      </c>
      <c r="B64" s="2" t="s">
        <v>585</v>
      </c>
      <c r="C64" s="3">
        <v>0</v>
      </c>
      <c r="D64" s="3">
        <v>0</v>
      </c>
      <c r="E64" s="3">
        <v>3.53</v>
      </c>
      <c r="F64" s="3">
        <f t="shared" si="4"/>
        <v>4.7066666666666661</v>
      </c>
      <c r="G64" s="3">
        <v>0</v>
      </c>
      <c r="H64" s="302">
        <v>0</v>
      </c>
    </row>
    <row r="65" spans="1:9" ht="15" customHeight="1" x14ac:dyDescent="0.25">
      <c r="A65" s="2" t="s">
        <v>1910</v>
      </c>
      <c r="B65" s="2" t="s">
        <v>37</v>
      </c>
      <c r="C65" s="3">
        <v>0</v>
      </c>
      <c r="D65" s="3">
        <v>0</v>
      </c>
      <c r="E65" s="3">
        <v>0</v>
      </c>
      <c r="F65" s="3">
        <f t="shared" si="4"/>
        <v>0</v>
      </c>
      <c r="G65" s="3">
        <v>0</v>
      </c>
      <c r="H65" s="5">
        <v>0</v>
      </c>
    </row>
    <row r="66" spans="1:9" ht="15" customHeight="1" x14ac:dyDescent="0.25">
      <c r="A66" s="2" t="s">
        <v>1911</v>
      </c>
      <c r="B66" s="2" t="s">
        <v>1912</v>
      </c>
      <c r="C66" s="3">
        <v>0</v>
      </c>
      <c r="D66" s="3">
        <v>0</v>
      </c>
      <c r="E66" s="3">
        <v>0</v>
      </c>
      <c r="F66" s="3">
        <f t="shared" si="4"/>
        <v>0</v>
      </c>
      <c r="G66" s="3">
        <v>0</v>
      </c>
      <c r="H66" s="5">
        <v>0</v>
      </c>
    </row>
    <row r="67" spans="1:9" ht="15" customHeight="1" x14ac:dyDescent="0.25">
      <c r="A67" s="2" t="s">
        <v>1913</v>
      </c>
      <c r="B67" s="2" t="s">
        <v>1914</v>
      </c>
      <c r="C67" s="3">
        <v>67780.759999999995</v>
      </c>
      <c r="D67" s="3">
        <v>37634.99</v>
      </c>
      <c r="E67" s="3">
        <v>61629.66</v>
      </c>
      <c r="F67" s="3">
        <f t="shared" si="4"/>
        <v>82172.88</v>
      </c>
      <c r="G67" s="3">
        <v>85000</v>
      </c>
      <c r="H67" s="5">
        <v>85000</v>
      </c>
    </row>
    <row r="68" spans="1:9" ht="15" customHeight="1" x14ac:dyDescent="0.25">
      <c r="A68" s="2" t="s">
        <v>1915</v>
      </c>
      <c r="B68" s="2" t="s">
        <v>1916</v>
      </c>
      <c r="C68" s="3">
        <v>128446.65</v>
      </c>
      <c r="D68" s="3">
        <v>54647.06</v>
      </c>
      <c r="E68" s="3">
        <v>108074.45</v>
      </c>
      <c r="F68" s="3">
        <f t="shared" si="4"/>
        <v>144099.26666666666</v>
      </c>
      <c r="G68" s="3">
        <v>110000</v>
      </c>
      <c r="H68" s="5">
        <v>145000</v>
      </c>
    </row>
    <row r="69" spans="1:9" ht="15" customHeight="1" x14ac:dyDescent="0.25">
      <c r="A69" s="2" t="s">
        <v>1917</v>
      </c>
      <c r="B69" s="2" t="s">
        <v>905</v>
      </c>
      <c r="C69" s="3">
        <v>2127.35</v>
      </c>
      <c r="D69" s="3">
        <v>588.86</v>
      </c>
      <c r="E69" s="3">
        <v>2194.3000000000002</v>
      </c>
      <c r="F69" s="3">
        <f t="shared" si="4"/>
        <v>2925.7333333333336</v>
      </c>
      <c r="G69" s="3">
        <v>5000</v>
      </c>
      <c r="H69" s="5">
        <v>5000</v>
      </c>
    </row>
    <row r="70" spans="1:9" x14ac:dyDescent="0.25">
      <c r="A70" s="2" t="s">
        <v>1918</v>
      </c>
      <c r="B70" s="2" t="s">
        <v>1919</v>
      </c>
      <c r="C70" s="3">
        <v>1359.84</v>
      </c>
      <c r="D70" s="3">
        <v>2179.88</v>
      </c>
      <c r="E70" s="3">
        <v>2179.88</v>
      </c>
      <c r="F70" s="3">
        <f t="shared" si="4"/>
        <v>2906.5066666666671</v>
      </c>
      <c r="G70" s="3">
        <v>2179.88</v>
      </c>
      <c r="H70" s="5">
        <f>+'Computer '!$D$22</f>
        <v>1359.8441869057374</v>
      </c>
    </row>
    <row r="71" spans="1:9" ht="15" customHeight="1" x14ac:dyDescent="0.25">
      <c r="A71" s="2" t="s">
        <v>1920</v>
      </c>
      <c r="B71" s="2" t="s">
        <v>57</v>
      </c>
      <c r="C71" s="3">
        <v>1207.81</v>
      </c>
      <c r="D71" s="3">
        <v>367.15</v>
      </c>
      <c r="E71" s="3">
        <v>736.43</v>
      </c>
      <c r="F71" s="3">
        <f t="shared" si="4"/>
        <v>981.90666666666664</v>
      </c>
      <c r="G71" s="3">
        <v>1200</v>
      </c>
      <c r="H71" s="5">
        <f>Phone!$C$22</f>
        <v>1300</v>
      </c>
    </row>
    <row r="72" spans="1:9" ht="15" customHeight="1" x14ac:dyDescent="0.25">
      <c r="A72" s="2" t="s">
        <v>1921</v>
      </c>
      <c r="B72" s="2" t="s">
        <v>303</v>
      </c>
      <c r="C72" s="3">
        <v>6182.87</v>
      </c>
      <c r="D72" s="3">
        <v>5503.82</v>
      </c>
      <c r="E72" s="3">
        <v>6731.65</v>
      </c>
      <c r="F72" s="3">
        <f t="shared" si="4"/>
        <v>8975.5333333333328</v>
      </c>
      <c r="G72" s="3">
        <v>8000</v>
      </c>
      <c r="H72" s="5">
        <f>F72*1.2956</f>
        <v>11628.700986666667</v>
      </c>
    </row>
    <row r="73" spans="1:9" ht="15" customHeight="1" x14ac:dyDescent="0.25">
      <c r="A73" s="2" t="s">
        <v>1922</v>
      </c>
      <c r="B73" s="2" t="s">
        <v>305</v>
      </c>
      <c r="C73" s="3">
        <v>8569.74</v>
      </c>
      <c r="D73" s="3">
        <v>3247.67</v>
      </c>
      <c r="E73" s="3">
        <v>5159.82</v>
      </c>
      <c r="F73" s="3">
        <f t="shared" si="4"/>
        <v>6879.7599999999993</v>
      </c>
      <c r="G73" s="3">
        <v>8000</v>
      </c>
      <c r="H73" s="5">
        <f>F73*1.1482</f>
        <v>7899.340432</v>
      </c>
    </row>
    <row r="74" spans="1:9" ht="15" customHeight="1" x14ac:dyDescent="0.25">
      <c r="A74" s="2" t="s">
        <v>1923</v>
      </c>
      <c r="B74" s="2" t="s">
        <v>1562</v>
      </c>
      <c r="C74" s="3">
        <v>746.27</v>
      </c>
      <c r="D74" s="3">
        <v>248.92</v>
      </c>
      <c r="E74" s="3">
        <v>479.92</v>
      </c>
      <c r="F74" s="3">
        <f t="shared" si="4"/>
        <v>639.89333333333332</v>
      </c>
      <c r="G74" s="3">
        <v>700</v>
      </c>
      <c r="H74" s="5">
        <v>800</v>
      </c>
    </row>
    <row r="75" spans="1:9" ht="15" customHeight="1" x14ac:dyDescent="0.25">
      <c r="A75" s="2" t="s">
        <v>1924</v>
      </c>
      <c r="B75" s="2" t="s">
        <v>947</v>
      </c>
      <c r="C75" s="3">
        <v>34387.06</v>
      </c>
      <c r="D75" s="3">
        <v>6779.92</v>
      </c>
      <c r="E75" s="3">
        <v>12225.23</v>
      </c>
      <c r="F75" s="3">
        <f t="shared" si="4"/>
        <v>16300.306666666667</v>
      </c>
      <c r="G75" s="3">
        <v>30000</v>
      </c>
      <c r="H75" s="5">
        <v>30000</v>
      </c>
    </row>
    <row r="76" spans="1:9" ht="15" customHeight="1" x14ac:dyDescent="0.25">
      <c r="A76" s="2" t="s">
        <v>1925</v>
      </c>
      <c r="B76" s="2" t="s">
        <v>64</v>
      </c>
      <c r="C76" s="3">
        <v>356.24</v>
      </c>
      <c r="D76" s="3">
        <v>1773.3</v>
      </c>
      <c r="E76" s="3">
        <v>2153.7800000000002</v>
      </c>
      <c r="F76" s="3">
        <f t="shared" si="4"/>
        <v>2871.7066666666669</v>
      </c>
      <c r="G76" s="3">
        <v>500</v>
      </c>
      <c r="H76" s="5">
        <v>2500</v>
      </c>
      <c r="I76" s="41"/>
    </row>
    <row r="77" spans="1:9" ht="15" customHeight="1" x14ac:dyDescent="0.25">
      <c r="A77" s="2" t="s">
        <v>1926</v>
      </c>
      <c r="B77" s="2" t="s">
        <v>907</v>
      </c>
      <c r="C77" s="3">
        <v>34646.449999999997</v>
      </c>
      <c r="D77" s="3">
        <v>30714.7</v>
      </c>
      <c r="E77" s="3">
        <v>30714.7</v>
      </c>
      <c r="F77" s="3">
        <f t="shared" si="4"/>
        <v>40952.933333333334</v>
      </c>
      <c r="G77" s="3">
        <v>30714.7</v>
      </c>
      <c r="H77" s="5">
        <f>'Central Services'!$C$9</f>
        <v>34646.449999999997</v>
      </c>
    </row>
    <row r="78" spans="1:9" x14ac:dyDescent="0.25">
      <c r="A78" s="2" t="s">
        <v>2</v>
      </c>
      <c r="B78" s="2" t="s">
        <v>2</v>
      </c>
      <c r="C78" s="2" t="s">
        <v>2</v>
      </c>
      <c r="D78" s="2" t="s">
        <v>2</v>
      </c>
      <c r="E78" s="2"/>
      <c r="F78" s="2"/>
      <c r="G78" s="2" t="s">
        <v>2</v>
      </c>
      <c r="H78" s="2" t="s">
        <v>2</v>
      </c>
    </row>
    <row r="79" spans="1:9" x14ac:dyDescent="0.25">
      <c r="A79" s="1" t="s">
        <v>1927</v>
      </c>
      <c r="B79" s="1" t="s">
        <v>2</v>
      </c>
    </row>
    <row r="80" spans="1:9" ht="15" customHeight="1" x14ac:dyDescent="0.25">
      <c r="A80" s="109" t="s">
        <v>1928</v>
      </c>
      <c r="B80" s="109" t="s">
        <v>1929</v>
      </c>
      <c r="C80" s="110">
        <v>10131.719999999999</v>
      </c>
      <c r="D80" s="110">
        <v>6580.93</v>
      </c>
      <c r="E80" s="110">
        <v>9182.4500000000007</v>
      </c>
      <c r="F80" s="110">
        <f t="shared" ref="F80:F114" si="6">E80/9*12</f>
        <v>12243.266666666668</v>
      </c>
      <c r="G80" s="110">
        <v>0</v>
      </c>
      <c r="H80" s="111">
        <v>0</v>
      </c>
      <c r="I80" s="108"/>
    </row>
    <row r="81" spans="1:9" ht="15" customHeight="1" x14ac:dyDescent="0.25">
      <c r="A81" s="109" t="s">
        <v>1930</v>
      </c>
      <c r="B81" s="109" t="s">
        <v>1931</v>
      </c>
      <c r="C81" s="110">
        <v>22105.24</v>
      </c>
      <c r="D81" s="110">
        <v>8062.08</v>
      </c>
      <c r="E81" s="110">
        <v>8062.08</v>
      </c>
      <c r="F81" s="110">
        <f t="shared" si="6"/>
        <v>10749.439999999999</v>
      </c>
      <c r="G81" s="110">
        <v>8500</v>
      </c>
      <c r="H81" s="111">
        <v>0</v>
      </c>
      <c r="I81" s="108"/>
    </row>
    <row r="82" spans="1:9" ht="15" customHeight="1" x14ac:dyDescent="0.25">
      <c r="A82" s="109" t="s">
        <v>1932</v>
      </c>
      <c r="B82" s="109" t="s">
        <v>1933</v>
      </c>
      <c r="C82" s="110">
        <v>0</v>
      </c>
      <c r="D82" s="110">
        <v>13912.71</v>
      </c>
      <c r="E82" s="110">
        <v>15189.28</v>
      </c>
      <c r="F82" s="110">
        <f t="shared" si="6"/>
        <v>20252.373333333337</v>
      </c>
      <c r="G82" s="110">
        <v>0</v>
      </c>
      <c r="H82" s="111">
        <v>0</v>
      </c>
      <c r="I82" s="108"/>
    </row>
    <row r="83" spans="1:9" ht="15" customHeight="1" x14ac:dyDescent="0.25">
      <c r="A83" s="109" t="s">
        <v>1934</v>
      </c>
      <c r="B83" s="109" t="s">
        <v>1935</v>
      </c>
      <c r="C83" s="110">
        <v>117782.52</v>
      </c>
      <c r="D83" s="110">
        <v>70884.59</v>
      </c>
      <c r="E83" s="110">
        <v>96303.07</v>
      </c>
      <c r="F83" s="110">
        <f t="shared" si="6"/>
        <v>128404.09333333335</v>
      </c>
      <c r="G83" s="110">
        <v>201790.92</v>
      </c>
      <c r="H83" s="111">
        <v>0</v>
      </c>
      <c r="I83" s="108"/>
    </row>
    <row r="84" spans="1:9" ht="15" customHeight="1" x14ac:dyDescent="0.25">
      <c r="A84" s="109" t="s">
        <v>1936</v>
      </c>
      <c r="B84" s="109" t="s">
        <v>1937</v>
      </c>
      <c r="C84" s="110">
        <v>14201.38</v>
      </c>
      <c r="D84" s="110">
        <v>4925.67</v>
      </c>
      <c r="E84" s="110">
        <v>8367.19</v>
      </c>
      <c r="F84" s="110">
        <f t="shared" si="6"/>
        <v>11156.253333333334</v>
      </c>
      <c r="G84" s="110">
        <v>0</v>
      </c>
      <c r="H84" s="111">
        <v>0</v>
      </c>
      <c r="I84" s="108"/>
    </row>
    <row r="85" spans="1:9" ht="15" customHeight="1" x14ac:dyDescent="0.25">
      <c r="A85" s="109" t="s">
        <v>1938</v>
      </c>
      <c r="B85" s="109" t="s">
        <v>1939</v>
      </c>
      <c r="C85" s="110">
        <v>0</v>
      </c>
      <c r="D85" s="110">
        <v>24712.46</v>
      </c>
      <c r="E85" s="110">
        <v>24712.46</v>
      </c>
      <c r="F85" s="110">
        <f t="shared" si="6"/>
        <v>32949.946666666663</v>
      </c>
      <c r="G85" s="110">
        <v>0</v>
      </c>
      <c r="H85" s="111">
        <v>0</v>
      </c>
      <c r="I85" s="108"/>
    </row>
    <row r="86" spans="1:9" ht="15" customHeight="1" x14ac:dyDescent="0.25">
      <c r="A86" s="109" t="s">
        <v>1940</v>
      </c>
      <c r="B86" s="109" t="s">
        <v>1941</v>
      </c>
      <c r="C86" s="110">
        <v>7869.48</v>
      </c>
      <c r="D86" s="110">
        <v>0</v>
      </c>
      <c r="E86" s="110">
        <v>0</v>
      </c>
      <c r="F86" s="110">
        <f t="shared" si="6"/>
        <v>0</v>
      </c>
      <c r="G86" s="110">
        <v>0</v>
      </c>
      <c r="H86" s="111">
        <v>0</v>
      </c>
      <c r="I86" s="108"/>
    </row>
    <row r="87" spans="1:9" ht="15" customHeight="1" x14ac:dyDescent="0.25">
      <c r="A87" s="109" t="s">
        <v>1942</v>
      </c>
      <c r="B87" s="109" t="s">
        <v>1943</v>
      </c>
      <c r="C87" s="110">
        <v>0</v>
      </c>
      <c r="D87" s="110">
        <v>0</v>
      </c>
      <c r="E87" s="110">
        <v>0</v>
      </c>
      <c r="F87" s="110">
        <f t="shared" si="6"/>
        <v>0</v>
      </c>
      <c r="G87" s="110">
        <v>0</v>
      </c>
      <c r="H87" s="111">
        <v>0</v>
      </c>
      <c r="I87" s="108"/>
    </row>
    <row r="88" spans="1:9" ht="15" customHeight="1" x14ac:dyDescent="0.25">
      <c r="A88" s="109" t="s">
        <v>1944</v>
      </c>
      <c r="B88" s="109" t="s">
        <v>1945</v>
      </c>
      <c r="C88" s="110">
        <v>0</v>
      </c>
      <c r="D88" s="110">
        <v>0</v>
      </c>
      <c r="E88" s="110">
        <v>0</v>
      </c>
      <c r="F88" s="110">
        <f t="shared" si="6"/>
        <v>0</v>
      </c>
      <c r="G88" s="110">
        <v>0</v>
      </c>
      <c r="H88" s="111">
        <v>0</v>
      </c>
      <c r="I88" s="108"/>
    </row>
    <row r="89" spans="1:9" ht="15" customHeight="1" x14ac:dyDescent="0.25">
      <c r="A89" s="109" t="s">
        <v>1946</v>
      </c>
      <c r="B89" s="109" t="s">
        <v>1947</v>
      </c>
      <c r="C89" s="110">
        <v>95402.58</v>
      </c>
      <c r="D89" s="110">
        <v>0</v>
      </c>
      <c r="E89" s="110">
        <v>0</v>
      </c>
      <c r="F89" s="110">
        <f t="shared" si="6"/>
        <v>0</v>
      </c>
      <c r="G89" s="110">
        <v>0</v>
      </c>
      <c r="H89" s="111">
        <v>0</v>
      </c>
      <c r="I89" s="108"/>
    </row>
    <row r="90" spans="1:9" ht="15" customHeight="1" x14ac:dyDescent="0.25">
      <c r="A90" s="109" t="s">
        <v>1948</v>
      </c>
      <c r="B90" s="109" t="s">
        <v>1949</v>
      </c>
      <c r="C90" s="110">
        <v>0</v>
      </c>
      <c r="D90" s="110">
        <v>0</v>
      </c>
      <c r="E90" s="110">
        <v>0</v>
      </c>
      <c r="F90" s="110">
        <f t="shared" si="6"/>
        <v>0</v>
      </c>
      <c r="G90" s="110">
        <v>0</v>
      </c>
      <c r="H90" s="111">
        <v>0</v>
      </c>
      <c r="I90" s="108"/>
    </row>
    <row r="91" spans="1:9" ht="15" customHeight="1" x14ac:dyDescent="0.25">
      <c r="A91" s="109" t="s">
        <v>1950</v>
      </c>
      <c r="B91" s="109" t="s">
        <v>1951</v>
      </c>
      <c r="C91" s="110">
        <v>0</v>
      </c>
      <c r="D91" s="110">
        <v>0</v>
      </c>
      <c r="E91" s="110">
        <v>0</v>
      </c>
      <c r="F91" s="110">
        <f>G91</f>
        <v>40000</v>
      </c>
      <c r="G91" s="110">
        <v>40000</v>
      </c>
      <c r="H91" s="111">
        <v>0</v>
      </c>
      <c r="I91" s="108"/>
    </row>
    <row r="92" spans="1:9" ht="15" customHeight="1" x14ac:dyDescent="0.25">
      <c r="A92" s="109" t="s">
        <v>1952</v>
      </c>
      <c r="B92" s="109" t="s">
        <v>1953</v>
      </c>
      <c r="C92" s="110">
        <v>0</v>
      </c>
      <c r="D92" s="110">
        <v>0</v>
      </c>
      <c r="E92" s="110">
        <v>0</v>
      </c>
      <c r="F92" s="110">
        <f>G92</f>
        <v>40000</v>
      </c>
      <c r="G92" s="110">
        <v>40000</v>
      </c>
      <c r="H92" s="111">
        <v>0</v>
      </c>
      <c r="I92" s="108"/>
    </row>
    <row r="93" spans="1:9" ht="15" customHeight="1" x14ac:dyDescent="0.25">
      <c r="A93" s="109" t="s">
        <v>1954</v>
      </c>
      <c r="B93" s="109" t="s">
        <v>1955</v>
      </c>
      <c r="C93" s="110">
        <v>0</v>
      </c>
      <c r="D93" s="110">
        <v>0</v>
      </c>
      <c r="E93" s="110">
        <v>0</v>
      </c>
      <c r="F93" s="110">
        <f t="shared" si="6"/>
        <v>0</v>
      </c>
      <c r="G93" s="110">
        <v>90000</v>
      </c>
      <c r="H93" s="111">
        <v>90000</v>
      </c>
      <c r="I93" s="108"/>
    </row>
    <row r="94" spans="1:9" ht="15" customHeight="1" x14ac:dyDescent="0.25">
      <c r="A94" s="109" t="s">
        <v>1956</v>
      </c>
      <c r="B94" s="109" t="s">
        <v>1957</v>
      </c>
      <c r="C94" s="110">
        <v>0</v>
      </c>
      <c r="D94" s="110">
        <v>0</v>
      </c>
      <c r="E94" s="110">
        <v>0</v>
      </c>
      <c r="F94" s="110">
        <f t="shared" si="6"/>
        <v>0</v>
      </c>
      <c r="G94" s="110">
        <v>40000</v>
      </c>
      <c r="H94" s="111">
        <v>40000</v>
      </c>
      <c r="I94" s="108"/>
    </row>
    <row r="95" spans="1:9" ht="15" customHeight="1" x14ac:dyDescent="0.25">
      <c r="A95" s="109" t="s">
        <v>1958</v>
      </c>
      <c r="B95" s="109" t="s">
        <v>1959</v>
      </c>
      <c r="C95" s="110">
        <v>0</v>
      </c>
      <c r="D95" s="110">
        <v>0</v>
      </c>
      <c r="E95" s="110">
        <v>0</v>
      </c>
      <c r="F95" s="110">
        <f t="shared" si="6"/>
        <v>0</v>
      </c>
      <c r="G95" s="110">
        <v>40000</v>
      </c>
      <c r="H95" s="111">
        <v>40000</v>
      </c>
      <c r="I95" s="108"/>
    </row>
    <row r="96" spans="1:9" ht="15" customHeight="1" x14ac:dyDescent="0.25">
      <c r="A96" s="109" t="s">
        <v>1960</v>
      </c>
      <c r="B96" s="109" t="s">
        <v>1961</v>
      </c>
      <c r="C96" s="110">
        <v>0</v>
      </c>
      <c r="D96" s="110">
        <v>0</v>
      </c>
      <c r="E96" s="110">
        <v>0</v>
      </c>
      <c r="F96" s="110">
        <f t="shared" si="6"/>
        <v>0</v>
      </c>
      <c r="G96" s="110">
        <v>40000</v>
      </c>
      <c r="H96" s="111">
        <v>40000</v>
      </c>
      <c r="I96" s="108"/>
    </row>
    <row r="97" spans="1:9" ht="15" customHeight="1" x14ac:dyDescent="0.25">
      <c r="A97" s="109" t="s">
        <v>1962</v>
      </c>
      <c r="B97" s="109" t="s">
        <v>1963</v>
      </c>
      <c r="C97" s="110">
        <v>0</v>
      </c>
      <c r="D97" s="110">
        <v>0</v>
      </c>
      <c r="E97" s="110">
        <v>0</v>
      </c>
      <c r="F97" s="110">
        <f t="shared" si="6"/>
        <v>0</v>
      </c>
      <c r="G97" s="110">
        <v>40000</v>
      </c>
      <c r="H97" s="111">
        <v>40000</v>
      </c>
      <c r="I97" s="108"/>
    </row>
    <row r="98" spans="1:9" ht="15" customHeight="1" x14ac:dyDescent="0.25">
      <c r="A98" s="109" t="s">
        <v>1964</v>
      </c>
      <c r="B98" s="109" t="s">
        <v>1965</v>
      </c>
      <c r="C98" s="110">
        <v>0</v>
      </c>
      <c r="D98" s="110">
        <v>0</v>
      </c>
      <c r="E98" s="110">
        <v>16439.57</v>
      </c>
      <c r="F98" s="110">
        <f>E98</f>
        <v>16439.57</v>
      </c>
      <c r="G98" s="110">
        <v>25000</v>
      </c>
      <c r="H98" s="111">
        <v>0</v>
      </c>
      <c r="I98" s="108"/>
    </row>
    <row r="99" spans="1:9" ht="15" customHeight="1" x14ac:dyDescent="0.25">
      <c r="A99" s="109" t="s">
        <v>1966</v>
      </c>
      <c r="B99" s="109" t="s">
        <v>1967</v>
      </c>
      <c r="C99" s="110">
        <v>0</v>
      </c>
      <c r="D99" s="110">
        <v>0</v>
      </c>
      <c r="E99" s="110">
        <v>0</v>
      </c>
      <c r="F99" s="110">
        <f>G99</f>
        <v>190000</v>
      </c>
      <c r="G99" s="110">
        <v>190000</v>
      </c>
      <c r="H99" s="111">
        <v>0</v>
      </c>
      <c r="I99" s="108"/>
    </row>
    <row r="100" spans="1:9" x14ac:dyDescent="0.25">
      <c r="A100" s="109" t="s">
        <v>1968</v>
      </c>
      <c r="B100" s="109" t="s">
        <v>1969</v>
      </c>
      <c r="C100" s="110">
        <v>0</v>
      </c>
      <c r="D100" s="110">
        <v>0</v>
      </c>
      <c r="E100" s="110">
        <v>16584.05</v>
      </c>
      <c r="F100" s="110">
        <f>E100</f>
        <v>16584.05</v>
      </c>
      <c r="G100" s="110">
        <v>25000</v>
      </c>
      <c r="H100" s="111">
        <v>0</v>
      </c>
      <c r="I100" s="301"/>
    </row>
    <row r="101" spans="1:9" ht="15" customHeight="1" x14ac:dyDescent="0.25">
      <c r="A101" s="109" t="s">
        <v>1970</v>
      </c>
      <c r="B101" s="109" t="s">
        <v>1971</v>
      </c>
      <c r="C101" s="110">
        <v>0</v>
      </c>
      <c r="D101" s="110">
        <v>0</v>
      </c>
      <c r="E101" s="110">
        <v>0</v>
      </c>
      <c r="F101" s="110">
        <f t="shared" si="6"/>
        <v>0</v>
      </c>
      <c r="G101" s="110">
        <v>60000</v>
      </c>
      <c r="H101" s="111">
        <v>0</v>
      </c>
      <c r="I101" s="108"/>
    </row>
    <row r="102" spans="1:9" ht="15" customHeight="1" x14ac:dyDescent="0.25">
      <c r="A102" s="109" t="s">
        <v>1972</v>
      </c>
      <c r="B102" s="109" t="s">
        <v>1973</v>
      </c>
      <c r="C102" s="110">
        <v>0</v>
      </c>
      <c r="D102" s="110">
        <v>7415.48</v>
      </c>
      <c r="E102" s="110">
        <v>7415.48</v>
      </c>
      <c r="F102" s="110">
        <f>E102</f>
        <v>7415.48</v>
      </c>
      <c r="G102" s="110">
        <v>7000</v>
      </c>
      <c r="H102" s="111">
        <v>0</v>
      </c>
      <c r="I102" s="108"/>
    </row>
    <row r="103" spans="1:9" ht="15" customHeight="1" x14ac:dyDescent="0.25">
      <c r="A103" s="109" t="s">
        <v>1974</v>
      </c>
      <c r="B103" s="109" t="s">
        <v>1975</v>
      </c>
      <c r="C103" s="110">
        <v>70572.14</v>
      </c>
      <c r="D103" s="110">
        <v>0</v>
      </c>
      <c r="E103" s="110">
        <v>0</v>
      </c>
      <c r="F103" s="110">
        <f t="shared" si="6"/>
        <v>0</v>
      </c>
      <c r="G103" s="110">
        <v>0</v>
      </c>
      <c r="H103" s="111">
        <v>0</v>
      </c>
      <c r="I103" s="108"/>
    </row>
    <row r="104" spans="1:9" ht="15" customHeight="1" x14ac:dyDescent="0.25">
      <c r="A104" s="109" t="s">
        <v>1976</v>
      </c>
      <c r="B104" s="109" t="s">
        <v>1977</v>
      </c>
      <c r="C104" s="110">
        <v>34448.65</v>
      </c>
      <c r="D104" s="110">
        <v>0</v>
      </c>
      <c r="E104" s="110">
        <v>0</v>
      </c>
      <c r="F104" s="110">
        <f t="shared" si="6"/>
        <v>0</v>
      </c>
      <c r="G104" s="110">
        <v>0</v>
      </c>
      <c r="H104" s="111">
        <v>0</v>
      </c>
      <c r="I104" s="108"/>
    </row>
    <row r="105" spans="1:9" ht="15" customHeight="1" x14ac:dyDescent="0.25">
      <c r="A105" s="109" t="s">
        <v>1978</v>
      </c>
      <c r="B105" s="109" t="s">
        <v>1979</v>
      </c>
      <c r="C105" s="110">
        <v>116569.46</v>
      </c>
      <c r="D105" s="110">
        <v>0</v>
      </c>
      <c r="E105" s="110">
        <v>0</v>
      </c>
      <c r="F105" s="110">
        <f t="shared" si="6"/>
        <v>0</v>
      </c>
      <c r="G105" s="110">
        <v>0</v>
      </c>
      <c r="H105" s="111">
        <v>0</v>
      </c>
      <c r="I105" s="108"/>
    </row>
    <row r="106" spans="1:9" ht="15" customHeight="1" x14ac:dyDescent="0.25">
      <c r="A106" s="109" t="s">
        <v>1980</v>
      </c>
      <c r="B106" s="109" t="s">
        <v>1981</v>
      </c>
      <c r="C106" s="110">
        <v>78228.100000000006</v>
      </c>
      <c r="D106" s="110">
        <v>0</v>
      </c>
      <c r="E106" s="110">
        <v>0</v>
      </c>
      <c r="F106" s="110">
        <f t="shared" si="6"/>
        <v>0</v>
      </c>
      <c r="G106" s="110">
        <v>0</v>
      </c>
      <c r="H106" s="111">
        <v>0</v>
      </c>
      <c r="I106" s="108"/>
    </row>
    <row r="107" spans="1:9" ht="15" customHeight="1" x14ac:dyDescent="0.25">
      <c r="A107" s="109" t="s">
        <v>1982</v>
      </c>
      <c r="B107" s="109" t="s">
        <v>1983</v>
      </c>
      <c r="C107" s="110">
        <v>74322.5</v>
      </c>
      <c r="D107" s="110">
        <v>0</v>
      </c>
      <c r="E107" s="110">
        <v>0</v>
      </c>
      <c r="F107" s="110">
        <f t="shared" si="6"/>
        <v>0</v>
      </c>
      <c r="G107" s="110">
        <v>0</v>
      </c>
      <c r="H107" s="111">
        <v>0</v>
      </c>
      <c r="I107" s="108"/>
    </row>
    <row r="108" spans="1:9" ht="15" customHeight="1" x14ac:dyDescent="0.25">
      <c r="A108" s="109" t="s">
        <v>1984</v>
      </c>
      <c r="B108" s="109" t="s">
        <v>1985</v>
      </c>
      <c r="C108" s="110">
        <v>33976.43</v>
      </c>
      <c r="D108" s="110">
        <v>0</v>
      </c>
      <c r="E108" s="110">
        <v>0</v>
      </c>
      <c r="F108" s="110">
        <f t="shared" si="6"/>
        <v>0</v>
      </c>
      <c r="G108" s="110">
        <v>0</v>
      </c>
      <c r="H108" s="111">
        <v>0</v>
      </c>
      <c r="I108" s="108"/>
    </row>
    <row r="109" spans="1:9" ht="15" customHeight="1" x14ac:dyDescent="0.25">
      <c r="A109" s="109" t="s">
        <v>1986</v>
      </c>
      <c r="B109" s="109" t="s">
        <v>1987</v>
      </c>
      <c r="C109" s="110">
        <v>0</v>
      </c>
      <c r="D109" s="110">
        <v>0</v>
      </c>
      <c r="E109" s="110">
        <v>0</v>
      </c>
      <c r="F109" s="110">
        <f t="shared" si="6"/>
        <v>0</v>
      </c>
      <c r="G109" s="110">
        <v>0</v>
      </c>
      <c r="H109" s="111">
        <v>0</v>
      </c>
      <c r="I109" s="108"/>
    </row>
    <row r="110" spans="1:9" ht="15" customHeight="1" x14ac:dyDescent="0.25">
      <c r="A110" s="109" t="s">
        <v>1988</v>
      </c>
      <c r="B110" s="109" t="s">
        <v>1989</v>
      </c>
      <c r="C110" s="110">
        <v>0</v>
      </c>
      <c r="D110" s="110">
        <v>0</v>
      </c>
      <c r="E110" s="110">
        <v>0</v>
      </c>
      <c r="F110" s="110">
        <f t="shared" si="6"/>
        <v>0</v>
      </c>
      <c r="G110" s="110">
        <v>0</v>
      </c>
      <c r="H110" s="111">
        <v>0</v>
      </c>
      <c r="I110" s="108"/>
    </row>
    <row r="111" spans="1:9" ht="15" customHeight="1" x14ac:dyDescent="0.25">
      <c r="A111" s="109" t="s">
        <v>1990</v>
      </c>
      <c r="B111" s="109" t="s">
        <v>1991</v>
      </c>
      <c r="C111" s="110">
        <v>0</v>
      </c>
      <c r="D111" s="110">
        <v>0</v>
      </c>
      <c r="E111" s="110">
        <v>0</v>
      </c>
      <c r="F111" s="110">
        <f t="shared" si="6"/>
        <v>0</v>
      </c>
      <c r="G111" s="110">
        <v>0</v>
      </c>
      <c r="H111" s="111">
        <v>0</v>
      </c>
      <c r="I111" s="108"/>
    </row>
    <row r="112" spans="1:9" ht="15" customHeight="1" x14ac:dyDescent="0.25">
      <c r="A112" s="109" t="s">
        <v>1992</v>
      </c>
      <c r="B112" s="109" t="s">
        <v>1993</v>
      </c>
      <c r="C112" s="110">
        <v>0</v>
      </c>
      <c r="D112" s="110">
        <v>0</v>
      </c>
      <c r="E112" s="110">
        <v>0</v>
      </c>
      <c r="F112" s="110">
        <f t="shared" si="6"/>
        <v>0</v>
      </c>
      <c r="G112" s="110">
        <v>0</v>
      </c>
      <c r="H112" s="111">
        <v>0</v>
      </c>
      <c r="I112" s="108"/>
    </row>
    <row r="113" spans="1:9" ht="15" customHeight="1" x14ac:dyDescent="0.25">
      <c r="A113" s="109" t="s">
        <v>1994</v>
      </c>
      <c r="B113" s="109" t="s">
        <v>1995</v>
      </c>
      <c r="C113" s="110">
        <v>0</v>
      </c>
      <c r="D113" s="110">
        <v>0</v>
      </c>
      <c r="E113" s="110">
        <v>0</v>
      </c>
      <c r="F113" s="110">
        <f t="shared" si="6"/>
        <v>0</v>
      </c>
      <c r="G113" s="110">
        <v>0</v>
      </c>
      <c r="H113" s="111">
        <v>0</v>
      </c>
      <c r="I113" s="108"/>
    </row>
    <row r="114" spans="1:9" ht="15" customHeight="1" x14ac:dyDescent="0.25">
      <c r="A114" s="109" t="s">
        <v>1996</v>
      </c>
      <c r="B114" s="109" t="s">
        <v>1997</v>
      </c>
      <c r="C114" s="110">
        <v>40277.4</v>
      </c>
      <c r="D114" s="110">
        <v>0</v>
      </c>
      <c r="E114" s="110">
        <v>0</v>
      </c>
      <c r="F114" s="110">
        <f t="shared" si="6"/>
        <v>0</v>
      </c>
      <c r="G114" s="110">
        <v>0</v>
      </c>
      <c r="H114" s="111">
        <v>0</v>
      </c>
      <c r="I114" s="108"/>
    </row>
    <row r="115" spans="1:9" ht="15" customHeight="1" x14ac:dyDescent="0.25">
      <c r="A115" s="109" t="s">
        <v>3570</v>
      </c>
      <c r="B115" s="109" t="s">
        <v>3576</v>
      </c>
      <c r="C115" s="110">
        <v>0</v>
      </c>
      <c r="D115" s="110">
        <v>0</v>
      </c>
      <c r="E115" s="110">
        <v>0</v>
      </c>
      <c r="F115" s="110">
        <v>0</v>
      </c>
      <c r="G115" s="110">
        <v>0</v>
      </c>
      <c r="H115" s="111">
        <f>Transfers!$C$93</f>
        <v>55000</v>
      </c>
      <c r="I115" s="108"/>
    </row>
    <row r="116" spans="1:9" ht="15" customHeight="1" x14ac:dyDescent="0.25">
      <c r="A116" s="109" t="s">
        <v>3570</v>
      </c>
      <c r="B116" s="109" t="s">
        <v>3577</v>
      </c>
      <c r="C116" s="110">
        <v>0</v>
      </c>
      <c r="D116" s="110">
        <v>0</v>
      </c>
      <c r="E116" s="110">
        <v>0</v>
      </c>
      <c r="F116" s="110">
        <v>0</v>
      </c>
      <c r="G116" s="110">
        <v>0</v>
      </c>
      <c r="H116" s="111">
        <f>Transfers!$C$94</f>
        <v>10000</v>
      </c>
      <c r="I116" s="108"/>
    </row>
    <row r="117" spans="1:9" ht="15" customHeight="1" x14ac:dyDescent="0.25">
      <c r="A117" s="109" t="s">
        <v>3570</v>
      </c>
      <c r="B117" s="109" t="s">
        <v>3578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1">
        <f>Transfers!$C$95</f>
        <v>30000</v>
      </c>
      <c r="I117" s="108"/>
    </row>
    <row r="118" spans="1:9" ht="15" customHeight="1" x14ac:dyDescent="0.25">
      <c r="A118" s="109" t="s">
        <v>3570</v>
      </c>
      <c r="B118" s="109" t="s">
        <v>3579</v>
      </c>
      <c r="C118" s="110">
        <v>0</v>
      </c>
      <c r="D118" s="110">
        <v>0</v>
      </c>
      <c r="E118" s="110">
        <v>0</v>
      </c>
      <c r="F118" s="110">
        <v>0</v>
      </c>
      <c r="G118" s="110">
        <v>0</v>
      </c>
      <c r="H118" s="111">
        <f>Transfers!$C$96</f>
        <v>25000</v>
      </c>
      <c r="I118" s="108"/>
    </row>
    <row r="119" spans="1:9" ht="15" customHeight="1" x14ac:dyDescent="0.25">
      <c r="A119" s="109" t="s">
        <v>3570</v>
      </c>
      <c r="B119" s="109" t="s">
        <v>3580</v>
      </c>
      <c r="C119" s="110">
        <v>0</v>
      </c>
      <c r="D119" s="110">
        <v>0</v>
      </c>
      <c r="E119" s="110">
        <v>0</v>
      </c>
      <c r="F119" s="110">
        <v>0</v>
      </c>
      <c r="G119" s="110">
        <v>0</v>
      </c>
      <c r="H119" s="111">
        <f>Transfers!$C$97</f>
        <v>10000</v>
      </c>
      <c r="I119" s="108"/>
    </row>
    <row r="120" spans="1:9" ht="15" customHeight="1" x14ac:dyDescent="0.25">
      <c r="A120" s="109" t="s">
        <v>3570</v>
      </c>
      <c r="B120" s="109" t="s">
        <v>3588</v>
      </c>
      <c r="C120" s="110">
        <v>0</v>
      </c>
      <c r="D120" s="110">
        <v>0</v>
      </c>
      <c r="E120" s="110">
        <v>0</v>
      </c>
      <c r="F120" s="110">
        <v>0</v>
      </c>
      <c r="G120" s="110">
        <v>0</v>
      </c>
      <c r="H120" s="111">
        <f>Transfers!$C$114+Transfers!$C$131+Transfers!$C$148+Transfers!$C$163</f>
        <v>250000</v>
      </c>
      <c r="I120" s="108"/>
    </row>
    <row r="121" spans="1:9" ht="15" customHeight="1" x14ac:dyDescent="0.25">
      <c r="A121" s="109" t="s">
        <v>3570</v>
      </c>
      <c r="B121" s="109" t="s">
        <v>3585</v>
      </c>
      <c r="C121" s="110">
        <v>0</v>
      </c>
      <c r="D121" s="110">
        <v>0</v>
      </c>
      <c r="E121" s="110">
        <v>0</v>
      </c>
      <c r="F121" s="110">
        <v>0</v>
      </c>
      <c r="G121" s="110">
        <v>0</v>
      </c>
      <c r="H121" s="111">
        <f>Transfers!$C$115+Transfers!$C$132+Transfers!$C$149</f>
        <v>125000</v>
      </c>
      <c r="I121" s="108"/>
    </row>
    <row r="122" spans="1:9" ht="15" customHeight="1" x14ac:dyDescent="0.25">
      <c r="A122" s="109" t="s">
        <v>3570</v>
      </c>
      <c r="B122" s="109" t="s">
        <v>3586</v>
      </c>
      <c r="C122" s="110">
        <v>0</v>
      </c>
      <c r="D122" s="110">
        <v>0</v>
      </c>
      <c r="E122" s="110">
        <v>0</v>
      </c>
      <c r="F122" s="110">
        <v>0</v>
      </c>
      <c r="G122" s="110">
        <v>0</v>
      </c>
      <c r="H122" s="111">
        <f>Transfers!$C$116+Transfers!$C$133+Transfers!$C$150</f>
        <v>45000</v>
      </c>
      <c r="I122" s="108"/>
    </row>
    <row r="123" spans="1:9" ht="15" customHeight="1" x14ac:dyDescent="0.25">
      <c r="A123" s="109" t="s">
        <v>3570</v>
      </c>
      <c r="B123" s="109" t="s">
        <v>3587</v>
      </c>
      <c r="C123" s="110">
        <v>0</v>
      </c>
      <c r="D123" s="110">
        <v>0</v>
      </c>
      <c r="E123" s="110">
        <v>0</v>
      </c>
      <c r="F123" s="110">
        <v>0</v>
      </c>
      <c r="G123" s="110">
        <v>0</v>
      </c>
      <c r="H123" s="111">
        <f>Transfers!$C$117+Transfers!$C$134+Transfers!$C$151+Transfers!$C$164</f>
        <v>50000</v>
      </c>
      <c r="I123" s="108"/>
    </row>
    <row r="124" spans="1:9" ht="15" customHeight="1" x14ac:dyDescent="0.25">
      <c r="A124" s="1" t="s">
        <v>1998</v>
      </c>
      <c r="B124" s="1" t="s">
        <v>2</v>
      </c>
      <c r="C124" s="4">
        <v>715887.6</v>
      </c>
      <c r="D124" s="4">
        <v>136493.92000000001</v>
      </c>
      <c r="E124" s="4">
        <f>SUM(E80:E123)</f>
        <v>202255.63</v>
      </c>
      <c r="F124" s="4">
        <f>SUM(F80:F123)</f>
        <v>526194.47333333327</v>
      </c>
      <c r="G124" s="4">
        <f>SUM(G80:G123)</f>
        <v>847290.92</v>
      </c>
      <c r="H124" s="4">
        <f>SUM(H80:H123)</f>
        <v>850000</v>
      </c>
    </row>
    <row r="125" spans="1:9" x14ac:dyDescent="0.25">
      <c r="A125" s="1" t="s">
        <v>2</v>
      </c>
      <c r="B125" s="1" t="s">
        <v>2</v>
      </c>
      <c r="C125" s="1" t="s">
        <v>2</v>
      </c>
      <c r="D125" s="1" t="s">
        <v>2</v>
      </c>
      <c r="E125" s="1"/>
      <c r="F125" s="1"/>
      <c r="G125" s="1" t="s">
        <v>2</v>
      </c>
      <c r="H125" s="1" t="s">
        <v>2</v>
      </c>
    </row>
    <row r="126" spans="1:9" ht="15" customHeight="1" x14ac:dyDescent="0.25">
      <c r="A126" s="1" t="s">
        <v>1999</v>
      </c>
      <c r="B126" s="1" t="s">
        <v>2</v>
      </c>
      <c r="C126" s="4">
        <v>1260842.58</v>
      </c>
      <c r="D126" s="4">
        <v>391524.14</v>
      </c>
      <c r="E126" s="4">
        <f>SUM(E55:E77)+E124</f>
        <v>617613.24</v>
      </c>
      <c r="F126" s="4">
        <f>SUM(F55:F77)+F124</f>
        <v>1188383.29</v>
      </c>
      <c r="G126" s="6">
        <f>G124+SUM(G55:G77)</f>
        <v>1460066.29</v>
      </c>
      <c r="H126" s="6">
        <f>H124+SUM(H55:H77)</f>
        <v>1529697.9056055723</v>
      </c>
    </row>
    <row r="127" spans="1:9" ht="15" customHeight="1" x14ac:dyDescent="0.25">
      <c r="A127" s="291" t="s">
        <v>3180</v>
      </c>
      <c r="B127" s="291"/>
      <c r="C127" s="294">
        <f>C7+C52-C126</f>
        <v>306422.26999999979</v>
      </c>
      <c r="D127" s="294">
        <f t="shared" ref="D127:H127" si="7">D7+D52-D126</f>
        <v>582950.69999999995</v>
      </c>
      <c r="E127" s="294">
        <f t="shared" si="7"/>
        <v>369782.70999999996</v>
      </c>
      <c r="F127" s="294">
        <f>F7+F52-F126</f>
        <v>713003.88666666672</v>
      </c>
      <c r="G127" s="294">
        <f t="shared" si="7"/>
        <v>161165.43999999994</v>
      </c>
      <c r="H127" s="294">
        <f t="shared" si="7"/>
        <v>302951.30106109451</v>
      </c>
      <c r="I127" s="291"/>
    </row>
    <row r="128" spans="1:9" x14ac:dyDescent="0.25">
      <c r="A128" s="1" t="s">
        <v>2</v>
      </c>
      <c r="B128" s="1" t="s">
        <v>2</v>
      </c>
      <c r="C128" s="1" t="s">
        <v>2</v>
      </c>
      <c r="D128" s="1" t="s">
        <v>2</v>
      </c>
      <c r="E128" s="1"/>
      <c r="F128" s="1"/>
      <c r="G128" s="1" t="s">
        <v>2</v>
      </c>
      <c r="H128" s="1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28422-D2C3-4BE0-8653-CB14482379B4}">
  <sheetPr>
    <tabColor rgb="FF92D050"/>
  </sheetPr>
  <dimension ref="A1:D27"/>
  <sheetViews>
    <sheetView workbookViewId="0">
      <selection activeCell="C5" sqref="C5"/>
    </sheetView>
  </sheetViews>
  <sheetFormatPr defaultColWidth="9.140625" defaultRowHeight="15" x14ac:dyDescent="0.25"/>
  <cols>
    <col min="1" max="2" width="26" style="94" customWidth="1"/>
    <col min="3" max="3" width="11.5703125" style="94" bestFit="1" customWidth="1"/>
    <col min="4" max="16384" width="9.140625" style="94"/>
  </cols>
  <sheetData>
    <row r="1" spans="1:4" x14ac:dyDescent="0.25">
      <c r="A1" s="100" t="s">
        <v>3536</v>
      </c>
      <c r="B1" s="100"/>
    </row>
    <row r="2" spans="1:4" x14ac:dyDescent="0.25">
      <c r="A2" s="94" t="s">
        <v>3535</v>
      </c>
    </row>
    <row r="4" spans="1:4" x14ac:dyDescent="0.25">
      <c r="A4" s="99" t="s">
        <v>3517</v>
      </c>
      <c r="B4" s="99" t="s">
        <v>1</v>
      </c>
      <c r="C4" s="99" t="s">
        <v>3518</v>
      </c>
    </row>
    <row r="5" spans="1:4" x14ac:dyDescent="0.25">
      <c r="A5" s="93" t="s">
        <v>56</v>
      </c>
      <c r="B5" s="93" t="s">
        <v>3533</v>
      </c>
      <c r="C5" s="97">
        <v>600</v>
      </c>
      <c r="D5" s="96"/>
    </row>
    <row r="6" spans="1:4" x14ac:dyDescent="0.25">
      <c r="A6" s="93" t="s">
        <v>98</v>
      </c>
      <c r="B6" s="93" t="s">
        <v>3532</v>
      </c>
      <c r="C6" s="98">
        <v>900</v>
      </c>
      <c r="D6" s="96"/>
    </row>
    <row r="7" spans="1:4" x14ac:dyDescent="0.25">
      <c r="A7" s="93" t="s">
        <v>139</v>
      </c>
      <c r="B7" s="93" t="s">
        <v>3530</v>
      </c>
      <c r="C7" s="97">
        <v>800</v>
      </c>
      <c r="D7" s="96"/>
    </row>
    <row r="8" spans="1:4" x14ac:dyDescent="0.25">
      <c r="A8" s="93" t="s">
        <v>167</v>
      </c>
      <c r="B8" s="93" t="s">
        <v>3548</v>
      </c>
      <c r="C8" s="97">
        <v>700</v>
      </c>
      <c r="D8" s="96"/>
    </row>
    <row r="9" spans="1:4" x14ac:dyDescent="0.25">
      <c r="A9" s="93" t="s">
        <v>205</v>
      </c>
      <c r="B9" s="93" t="s">
        <v>3529</v>
      </c>
      <c r="C9" s="97">
        <v>5500</v>
      </c>
      <c r="D9" s="96"/>
    </row>
    <row r="10" spans="1:4" x14ac:dyDescent="0.25">
      <c r="A10" s="93" t="s">
        <v>379</v>
      </c>
      <c r="B10" s="93" t="s">
        <v>3528</v>
      </c>
      <c r="C10" s="97">
        <v>40000</v>
      </c>
      <c r="D10" s="96"/>
    </row>
    <row r="11" spans="1:4" x14ac:dyDescent="0.25">
      <c r="A11" s="93" t="s">
        <v>469</v>
      </c>
      <c r="B11" s="93" t="s">
        <v>3526</v>
      </c>
      <c r="C11" s="97">
        <v>3800</v>
      </c>
      <c r="D11" s="96"/>
    </row>
    <row r="12" spans="1:4" x14ac:dyDescent="0.25">
      <c r="A12" s="93" t="s">
        <v>521</v>
      </c>
      <c r="B12" s="93" t="s">
        <v>3540</v>
      </c>
      <c r="C12" s="97">
        <v>3000</v>
      </c>
      <c r="D12" s="96"/>
    </row>
    <row r="13" spans="1:4" x14ac:dyDescent="0.25">
      <c r="A13" s="93" t="s">
        <v>605</v>
      </c>
      <c r="B13" s="93" t="s">
        <v>3524</v>
      </c>
      <c r="C13" s="97">
        <v>5000</v>
      </c>
      <c r="D13" s="96"/>
    </row>
    <row r="14" spans="1:4" x14ac:dyDescent="0.25">
      <c r="A14" s="93" t="s">
        <v>684</v>
      </c>
      <c r="B14" s="93" t="s">
        <v>3523</v>
      </c>
      <c r="C14" s="97">
        <v>2000</v>
      </c>
      <c r="D14" s="96"/>
    </row>
    <row r="15" spans="1:4" x14ac:dyDescent="0.25">
      <c r="A15" s="93" t="s">
        <v>913</v>
      </c>
      <c r="B15" s="93" t="s">
        <v>3547</v>
      </c>
      <c r="C15" s="97">
        <v>5500</v>
      </c>
      <c r="D15" s="96"/>
    </row>
    <row r="16" spans="1:4" x14ac:dyDescent="0.25">
      <c r="A16" s="93" t="s">
        <v>943</v>
      </c>
      <c r="B16" s="93" t="s">
        <v>3546</v>
      </c>
      <c r="C16" s="97">
        <v>1250</v>
      </c>
      <c r="D16" s="96"/>
    </row>
    <row r="17" spans="1:4" x14ac:dyDescent="0.25">
      <c r="A17" s="93" t="s">
        <v>1292</v>
      </c>
      <c r="B17" s="93" t="s">
        <v>3521</v>
      </c>
      <c r="C17" s="97">
        <v>9000</v>
      </c>
      <c r="D17" s="96"/>
    </row>
    <row r="18" spans="1:4" x14ac:dyDescent="0.25">
      <c r="A18" s="93" t="s">
        <v>1374</v>
      </c>
      <c r="B18" s="93" t="s">
        <v>3545</v>
      </c>
      <c r="C18" s="97">
        <v>1500</v>
      </c>
      <c r="D18" s="96"/>
    </row>
    <row r="19" spans="1:4" x14ac:dyDescent="0.25">
      <c r="A19" s="93" t="s">
        <v>1486</v>
      </c>
      <c r="B19" s="93" t="s">
        <v>3544</v>
      </c>
      <c r="C19" s="97">
        <v>7000</v>
      </c>
      <c r="D19" s="96"/>
    </row>
    <row r="20" spans="1:4" x14ac:dyDescent="0.25">
      <c r="A20" s="93" t="s">
        <v>1557</v>
      </c>
      <c r="B20" s="93" t="s">
        <v>3543</v>
      </c>
      <c r="C20" s="97">
        <v>4000</v>
      </c>
      <c r="D20" s="96"/>
    </row>
    <row r="21" spans="1:4" x14ac:dyDescent="0.25">
      <c r="A21" s="93" t="s">
        <v>1748</v>
      </c>
      <c r="B21" s="93" t="s">
        <v>3542</v>
      </c>
      <c r="C21" s="97">
        <v>4200</v>
      </c>
      <c r="D21" s="96"/>
    </row>
    <row r="22" spans="1:4" x14ac:dyDescent="0.25">
      <c r="A22" s="93" t="s">
        <v>1920</v>
      </c>
      <c r="B22" s="93" t="s">
        <v>3541</v>
      </c>
      <c r="C22" s="97">
        <v>1300</v>
      </c>
      <c r="D22" s="96"/>
    </row>
    <row r="23" spans="1:4" x14ac:dyDescent="0.25">
      <c r="A23" s="93"/>
      <c r="B23" s="93"/>
      <c r="C23" s="97"/>
      <c r="D23" s="96"/>
    </row>
    <row r="24" spans="1:4" x14ac:dyDescent="0.25">
      <c r="A24" s="93"/>
      <c r="B24" s="93"/>
      <c r="C24" s="101"/>
      <c r="D24" s="96"/>
    </row>
    <row r="25" spans="1:4" x14ac:dyDescent="0.25">
      <c r="C25" s="95">
        <f>SUM(C5:C24)</f>
        <v>96050</v>
      </c>
    </row>
    <row r="27" spans="1:4" x14ac:dyDescent="0.25">
      <c r="C27" s="9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F7E22-CE88-4F09-88C4-842638DD71C3}">
  <sheetPr>
    <tabColor rgb="FF92D050"/>
    <pageSetUpPr fitToPage="1"/>
  </sheetPr>
  <dimension ref="A1:M40"/>
  <sheetViews>
    <sheetView showGridLines="0" zoomScaleNormal="100" workbookViewId="0">
      <pane ySplit="5" topLeftCell="A21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customHeight="1" x14ac:dyDescent="0.25">
      <c r="A3" s="334" t="s">
        <v>3989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H7-F36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3552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3181</v>
      </c>
      <c r="B7" s="291"/>
      <c r="C7" s="294">
        <v>0</v>
      </c>
      <c r="D7" s="294">
        <v>179</v>
      </c>
      <c r="E7" s="294">
        <v>179</v>
      </c>
      <c r="F7" s="294">
        <v>179</v>
      </c>
      <c r="G7" s="294">
        <v>179</v>
      </c>
      <c r="H7" s="294">
        <f>F36</f>
        <v>9729.9466666666704</v>
      </c>
      <c r="I7" s="291"/>
    </row>
    <row r="8" spans="1:13" x14ac:dyDescent="0.25">
      <c r="A8" s="23" t="s">
        <v>2000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23" t="s">
        <v>2026</v>
      </c>
      <c r="B9" s="23" t="s">
        <v>2</v>
      </c>
      <c r="C9" s="29"/>
      <c r="D9" s="29"/>
      <c r="E9" s="29"/>
      <c r="F9" s="29"/>
      <c r="G9" s="29"/>
      <c r="H9" s="29"/>
      <c r="I9" s="29"/>
    </row>
    <row r="10" spans="1:13" x14ac:dyDescent="0.25">
      <c r="A10" s="23" t="s">
        <v>2945</v>
      </c>
      <c r="B10" s="23" t="s">
        <v>2</v>
      </c>
      <c r="C10" s="29"/>
      <c r="D10" s="29"/>
      <c r="E10" s="29"/>
      <c r="F10" s="29"/>
      <c r="G10" s="29"/>
      <c r="H10" s="29"/>
      <c r="I10" s="29"/>
    </row>
    <row r="11" spans="1:13" x14ac:dyDescent="0.25">
      <c r="A11" s="30" t="s">
        <v>3182</v>
      </c>
      <c r="B11" s="30" t="s">
        <v>3183</v>
      </c>
      <c r="C11" s="31">
        <v>2066.08</v>
      </c>
      <c r="D11" s="31">
        <v>586.54</v>
      </c>
      <c r="E11" s="31">
        <v>1010.3</v>
      </c>
      <c r="F11" s="31">
        <f>E11/9*12</f>
        <v>1347.0666666666666</v>
      </c>
      <c r="G11" s="31">
        <v>0</v>
      </c>
      <c r="H11" s="31">
        <v>0</v>
      </c>
      <c r="I11" s="29"/>
    </row>
    <row r="12" spans="1:13" x14ac:dyDescent="0.25">
      <c r="A12" s="30" t="s">
        <v>3184</v>
      </c>
      <c r="B12" s="30" t="s">
        <v>704</v>
      </c>
      <c r="C12" s="31">
        <v>0</v>
      </c>
      <c r="D12" s="31">
        <v>0</v>
      </c>
      <c r="E12" s="31">
        <v>0</v>
      </c>
      <c r="F12" s="31">
        <f>E12/9*12</f>
        <v>0</v>
      </c>
      <c r="G12" s="31">
        <v>0</v>
      </c>
      <c r="H12" s="31">
        <v>0</v>
      </c>
      <c r="I12" s="29"/>
    </row>
    <row r="13" spans="1:13" x14ac:dyDescent="0.25">
      <c r="A13" s="30" t="s">
        <v>3185</v>
      </c>
      <c r="B13" s="30" t="s">
        <v>3186</v>
      </c>
      <c r="C13" s="31">
        <v>120358.47</v>
      </c>
      <c r="D13" s="31">
        <v>32625.24</v>
      </c>
      <c r="E13" s="31">
        <v>51663.39</v>
      </c>
      <c r="F13" s="31">
        <f>E13/9*12</f>
        <v>68884.52</v>
      </c>
      <c r="G13" s="31">
        <v>234000</v>
      </c>
      <c r="H13" s="31">
        <v>100000</v>
      </c>
      <c r="I13" s="29"/>
    </row>
    <row r="14" spans="1:13" x14ac:dyDescent="0.25">
      <c r="A14" s="23" t="s">
        <v>2951</v>
      </c>
      <c r="B14" s="23" t="s">
        <v>2</v>
      </c>
      <c r="C14" s="32">
        <v>122424.55</v>
      </c>
      <c r="D14" s="32">
        <v>33211.78</v>
      </c>
      <c r="E14" s="32">
        <f>SUM(E11:E13)</f>
        <v>52673.69</v>
      </c>
      <c r="F14" s="32">
        <f>SUM(F11:F13)</f>
        <v>70231.58666666667</v>
      </c>
      <c r="G14" s="32">
        <f>SUM(G11:G13)</f>
        <v>234000</v>
      </c>
      <c r="H14" s="32">
        <f>SUM(H11:H13)</f>
        <v>100000</v>
      </c>
      <c r="I14" s="29"/>
    </row>
    <row r="15" spans="1:13" x14ac:dyDescent="0.25">
      <c r="A15" s="23" t="s">
        <v>2</v>
      </c>
      <c r="B15" s="23" t="s">
        <v>2</v>
      </c>
      <c r="C15" s="23" t="s">
        <v>2</v>
      </c>
      <c r="D15" s="23" t="s">
        <v>2</v>
      </c>
      <c r="E15" s="23"/>
      <c r="F15" s="23"/>
      <c r="G15" s="23" t="s">
        <v>2</v>
      </c>
      <c r="H15" s="23" t="s">
        <v>2</v>
      </c>
      <c r="I15" s="29"/>
    </row>
    <row r="16" spans="1:13" x14ac:dyDescent="0.25">
      <c r="A16" s="23" t="s">
        <v>2945</v>
      </c>
      <c r="B16" s="23" t="s">
        <v>2</v>
      </c>
      <c r="C16" s="29"/>
      <c r="D16" s="29"/>
      <c r="E16" s="29"/>
      <c r="F16" s="29"/>
      <c r="G16" s="29"/>
      <c r="H16" s="29"/>
      <c r="I16" s="29"/>
    </row>
    <row r="17" spans="1:9" x14ac:dyDescent="0.25">
      <c r="A17" s="30" t="s">
        <v>3187</v>
      </c>
      <c r="B17" s="30" t="s">
        <v>3188</v>
      </c>
      <c r="C17" s="31">
        <v>3320</v>
      </c>
      <c r="D17" s="31">
        <v>1178.5</v>
      </c>
      <c r="E17" s="31">
        <v>1957.5</v>
      </c>
      <c r="F17" s="31">
        <f>E17/9*12</f>
        <v>2610</v>
      </c>
      <c r="G17" s="31">
        <v>2000</v>
      </c>
      <c r="H17" s="31">
        <v>2000</v>
      </c>
      <c r="I17" s="29"/>
    </row>
    <row r="18" spans="1:9" x14ac:dyDescent="0.25">
      <c r="A18" s="30" t="s">
        <v>3189</v>
      </c>
      <c r="B18" s="30" t="s">
        <v>2007</v>
      </c>
      <c r="C18" s="31">
        <v>4948</v>
      </c>
      <c r="D18" s="31">
        <v>2673</v>
      </c>
      <c r="E18" s="31">
        <v>4162</v>
      </c>
      <c r="F18" s="31">
        <f>E18/9*12</f>
        <v>5549.3333333333339</v>
      </c>
      <c r="G18" s="31">
        <v>3500</v>
      </c>
      <c r="H18" s="31">
        <v>4000</v>
      </c>
      <c r="I18" s="29"/>
    </row>
    <row r="19" spans="1:9" x14ac:dyDescent="0.25">
      <c r="A19" s="30" t="s">
        <v>3190</v>
      </c>
      <c r="B19" s="30" t="s">
        <v>2009</v>
      </c>
      <c r="C19" s="31">
        <v>1828.5</v>
      </c>
      <c r="D19" s="31">
        <v>768.5</v>
      </c>
      <c r="E19" s="31">
        <v>1523.75</v>
      </c>
      <c r="F19" s="31">
        <f>E19/9*12</f>
        <v>2031.6666666666665</v>
      </c>
      <c r="G19" s="31">
        <v>1200</v>
      </c>
      <c r="H19" s="31">
        <v>1700</v>
      </c>
      <c r="I19" s="29"/>
    </row>
    <row r="20" spans="1:9" x14ac:dyDescent="0.25">
      <c r="A20" s="23" t="s">
        <v>2951</v>
      </c>
      <c r="B20" s="23" t="s">
        <v>2</v>
      </c>
      <c r="C20" s="32">
        <v>10096.5</v>
      </c>
      <c r="D20" s="32">
        <v>4620</v>
      </c>
      <c r="E20" s="32">
        <f>SUM(E17:E19)</f>
        <v>7643.25</v>
      </c>
      <c r="F20" s="32">
        <f>SUM(F17:F19)</f>
        <v>10191</v>
      </c>
      <c r="G20" s="32">
        <f>SUM(G17:G19)</f>
        <v>6700</v>
      </c>
      <c r="H20" s="32">
        <f>SUM(H17:H19)</f>
        <v>7700</v>
      </c>
      <c r="I20" s="29"/>
    </row>
    <row r="21" spans="1:9" x14ac:dyDescent="0.25">
      <c r="A21" s="23"/>
      <c r="B21" s="23" t="s">
        <v>2</v>
      </c>
      <c r="C21" s="23" t="s">
        <v>2</v>
      </c>
      <c r="D21" s="23" t="s">
        <v>2</v>
      </c>
      <c r="E21" s="23"/>
      <c r="F21" s="23"/>
      <c r="G21" s="23" t="s">
        <v>2</v>
      </c>
      <c r="H21" s="23" t="s">
        <v>2</v>
      </c>
      <c r="I21" s="29"/>
    </row>
    <row r="22" spans="1:9" x14ac:dyDescent="0.25">
      <c r="A22" s="23" t="s">
        <v>2014</v>
      </c>
      <c r="B22" s="23" t="s">
        <v>2</v>
      </c>
      <c r="C22" s="32">
        <v>132521.04999999999</v>
      </c>
      <c r="D22" s="32">
        <v>37831.78</v>
      </c>
      <c r="E22" s="32">
        <f>E14+E20</f>
        <v>60316.94</v>
      </c>
      <c r="F22" s="32">
        <f>F14+F20</f>
        <v>80422.58666666667</v>
      </c>
      <c r="G22" s="32">
        <f>G20+G14</f>
        <v>240700</v>
      </c>
      <c r="H22" s="32">
        <f>H20+H14</f>
        <v>107700</v>
      </c>
      <c r="I22" s="29"/>
    </row>
    <row r="23" spans="1:9" x14ac:dyDescent="0.25">
      <c r="A23" s="1" t="s">
        <v>740</v>
      </c>
      <c r="B23" s="1" t="s">
        <v>2</v>
      </c>
      <c r="C23" s="1" t="s">
        <v>2</v>
      </c>
      <c r="D23" s="1" t="s">
        <v>2</v>
      </c>
      <c r="E23" s="1"/>
      <c r="F23" s="1"/>
      <c r="G23" s="1" t="s">
        <v>2</v>
      </c>
      <c r="H23" s="1" t="s">
        <v>2</v>
      </c>
    </row>
    <row r="24" spans="1:9" x14ac:dyDescent="0.25">
      <c r="A24" s="1" t="s">
        <v>2000</v>
      </c>
      <c r="B24" s="1" t="s">
        <v>2</v>
      </c>
      <c r="C24" s="40"/>
      <c r="G24" s="40"/>
    </row>
    <row r="25" spans="1:9" ht="15" customHeight="1" x14ac:dyDescent="0.25">
      <c r="A25" s="1" t="s">
        <v>698</v>
      </c>
      <c r="B25" s="1" t="s">
        <v>2</v>
      </c>
    </row>
    <row r="26" spans="1:9" ht="15" customHeight="1" x14ac:dyDescent="0.25">
      <c r="A26" s="2" t="s">
        <v>2001</v>
      </c>
      <c r="B26" s="2" t="s">
        <v>2002</v>
      </c>
      <c r="C26" s="3">
        <v>2066.08</v>
      </c>
      <c r="D26" s="3">
        <v>480.26</v>
      </c>
      <c r="E26" s="3">
        <v>920.8</v>
      </c>
      <c r="F26" s="3">
        <f>E26/9*12</f>
        <v>1227.7333333333331</v>
      </c>
      <c r="G26" s="3">
        <v>4000</v>
      </c>
      <c r="H26" s="3">
        <v>4000</v>
      </c>
    </row>
    <row r="27" spans="1:9" x14ac:dyDescent="0.25">
      <c r="A27" s="2" t="s">
        <v>2003</v>
      </c>
      <c r="B27" s="2" t="s">
        <v>2004</v>
      </c>
      <c r="C27" s="3">
        <v>120358.47</v>
      </c>
      <c r="D27" s="3">
        <v>26579.59</v>
      </c>
      <c r="E27" s="3">
        <v>46409.68</v>
      </c>
      <c r="F27" s="3">
        <f t="shared" ref="F27:F32" si="0">E27/9*12</f>
        <v>61879.573333333334</v>
      </c>
      <c r="G27" s="3">
        <v>230000</v>
      </c>
      <c r="H27" s="3">
        <v>100000</v>
      </c>
    </row>
    <row r="28" spans="1:9" ht="15" customHeight="1" x14ac:dyDescent="0.25">
      <c r="A28" s="2" t="s">
        <v>2005</v>
      </c>
      <c r="B28" s="2" t="s">
        <v>697</v>
      </c>
      <c r="C28" s="3">
        <v>3320</v>
      </c>
      <c r="D28" s="3">
        <v>775.5</v>
      </c>
      <c r="E28" s="3">
        <v>1121</v>
      </c>
      <c r="F28" s="3">
        <f t="shared" si="0"/>
        <v>1494.6666666666667</v>
      </c>
      <c r="G28" s="3">
        <v>2000</v>
      </c>
      <c r="H28" s="3">
        <v>2000</v>
      </c>
    </row>
    <row r="29" spans="1:9" ht="15" customHeight="1" x14ac:dyDescent="0.25">
      <c r="A29" s="2" t="s">
        <v>2006</v>
      </c>
      <c r="B29" s="2" t="s">
        <v>2007</v>
      </c>
      <c r="C29" s="3">
        <v>5074</v>
      </c>
      <c r="D29" s="3">
        <v>1907</v>
      </c>
      <c r="E29" s="3">
        <v>3524</v>
      </c>
      <c r="F29" s="3">
        <f t="shared" si="0"/>
        <v>4698.6666666666661</v>
      </c>
      <c r="G29" s="3">
        <v>3500</v>
      </c>
      <c r="H29" s="3">
        <v>3500</v>
      </c>
    </row>
    <row r="30" spans="1:9" ht="15" customHeight="1" x14ac:dyDescent="0.25">
      <c r="A30" s="2" t="s">
        <v>2008</v>
      </c>
      <c r="B30" s="2" t="s">
        <v>2009</v>
      </c>
      <c r="C30" s="3">
        <v>1841.75</v>
      </c>
      <c r="D30" s="3">
        <v>333.5</v>
      </c>
      <c r="E30" s="3">
        <v>1178.25</v>
      </c>
      <c r="F30" s="3">
        <f t="shared" si="0"/>
        <v>1571</v>
      </c>
      <c r="G30" s="3">
        <v>1200</v>
      </c>
      <c r="H30" s="3">
        <v>1200</v>
      </c>
    </row>
    <row r="31" spans="1:9" ht="15" customHeight="1" x14ac:dyDescent="0.25">
      <c r="A31" s="2" t="s">
        <v>2010</v>
      </c>
      <c r="B31" s="2" t="s">
        <v>2011</v>
      </c>
      <c r="C31" s="3">
        <v>-252</v>
      </c>
      <c r="D31" s="3">
        <v>0</v>
      </c>
      <c r="E31" s="3">
        <v>0</v>
      </c>
      <c r="F31" s="3">
        <f t="shared" si="0"/>
        <v>0</v>
      </c>
      <c r="G31" s="3">
        <v>0</v>
      </c>
      <c r="H31" s="3">
        <v>0</v>
      </c>
    </row>
    <row r="32" spans="1:9" ht="15" customHeight="1" x14ac:dyDescent="0.25">
      <c r="A32" s="2" t="s">
        <v>2012</v>
      </c>
      <c r="B32" s="2" t="s">
        <v>2013</v>
      </c>
      <c r="C32" s="3">
        <v>-66.25</v>
      </c>
      <c r="D32" s="3">
        <v>0</v>
      </c>
      <c r="E32" s="3">
        <v>0</v>
      </c>
      <c r="F32" s="3">
        <f t="shared" si="0"/>
        <v>0</v>
      </c>
      <c r="G32" s="3">
        <v>0</v>
      </c>
      <c r="H32" s="3">
        <v>0</v>
      </c>
    </row>
    <row r="33" spans="1:9" ht="15" customHeight="1" x14ac:dyDescent="0.25">
      <c r="A33" s="1" t="s">
        <v>705</v>
      </c>
      <c r="B33" s="1" t="s">
        <v>2</v>
      </c>
      <c r="C33" s="4">
        <v>132342.04999999999</v>
      </c>
      <c r="D33" s="4">
        <v>30075.85</v>
      </c>
      <c r="E33" s="4">
        <f>SUM(E26:E32)</f>
        <v>53153.73</v>
      </c>
      <c r="F33" s="4">
        <f>SUM(F26:F32)</f>
        <v>70871.64</v>
      </c>
      <c r="G33" s="6">
        <f>SUM(G26:G32)</f>
        <v>240700</v>
      </c>
      <c r="H33" s="6">
        <f>SUM(H26:H32)</f>
        <v>110700</v>
      </c>
    </row>
    <row r="34" spans="1:9" x14ac:dyDescent="0.25">
      <c r="A34" s="1" t="s">
        <v>2</v>
      </c>
      <c r="B34" s="1" t="s">
        <v>2</v>
      </c>
      <c r="C34" s="1" t="s">
        <v>2</v>
      </c>
      <c r="D34" s="1" t="s">
        <v>2</v>
      </c>
      <c r="E34" s="1"/>
      <c r="F34" s="1"/>
      <c r="G34" s="1" t="s">
        <v>2</v>
      </c>
      <c r="H34" s="1" t="s">
        <v>2</v>
      </c>
    </row>
    <row r="35" spans="1:9" ht="15" customHeight="1" x14ac:dyDescent="0.25">
      <c r="A35" s="1" t="s">
        <v>2014</v>
      </c>
      <c r="B35" s="1" t="s">
        <v>2</v>
      </c>
      <c r="C35" s="4">
        <v>132342.04999999999</v>
      </c>
      <c r="D35" s="4">
        <v>30075.85</v>
      </c>
      <c r="E35" s="4">
        <f>E33</f>
        <v>53153.73</v>
      </c>
      <c r="F35" s="4">
        <f>F33</f>
        <v>70871.64</v>
      </c>
      <c r="G35" s="6">
        <f>G33</f>
        <v>240700</v>
      </c>
      <c r="H35" s="6">
        <f>H33</f>
        <v>110700</v>
      </c>
    </row>
    <row r="36" spans="1:9" ht="15" customHeight="1" x14ac:dyDescent="0.25">
      <c r="A36" s="291" t="s">
        <v>3191</v>
      </c>
      <c r="B36" s="291"/>
      <c r="C36" s="294">
        <f>C7+C22-C35</f>
        <v>179</v>
      </c>
      <c r="D36" s="294">
        <f t="shared" ref="D36:H36" si="1">D7+D22-D35</f>
        <v>7934.93</v>
      </c>
      <c r="E36" s="294">
        <f t="shared" si="1"/>
        <v>7342.2099999999991</v>
      </c>
      <c r="F36" s="294">
        <f t="shared" si="1"/>
        <v>9729.9466666666704</v>
      </c>
      <c r="G36" s="294">
        <f t="shared" si="1"/>
        <v>179</v>
      </c>
      <c r="H36" s="294">
        <f t="shared" si="1"/>
        <v>6729.9466666666704</v>
      </c>
      <c r="I36" s="291"/>
    </row>
    <row r="37" spans="1:9" x14ac:dyDescent="0.25">
      <c r="A37" s="1" t="s">
        <v>2</v>
      </c>
      <c r="B37" s="1" t="s">
        <v>2</v>
      </c>
      <c r="C37" s="1" t="s">
        <v>2</v>
      </c>
      <c r="D37" s="1" t="s">
        <v>2</v>
      </c>
      <c r="E37" s="1"/>
      <c r="F37" s="1"/>
      <c r="G37" s="1" t="s">
        <v>2</v>
      </c>
      <c r="H37" s="6" t="str">
        <f>H34</f>
        <v/>
      </c>
    </row>
    <row r="38" spans="1:9" x14ac:dyDescent="0.25">
      <c r="B38" s="1"/>
      <c r="C38" s="4"/>
      <c r="D38" s="4"/>
      <c r="E38" s="4"/>
      <c r="F38" s="4"/>
      <c r="G38" s="4"/>
      <c r="H38" s="4"/>
    </row>
    <row r="39" spans="1:9" x14ac:dyDescent="0.25">
      <c r="B39" s="1"/>
      <c r="C39" s="4"/>
      <c r="D39" s="4"/>
      <c r="E39" s="4"/>
      <c r="F39" s="4"/>
      <c r="G39" s="4"/>
      <c r="H39" s="4"/>
    </row>
    <row r="40" spans="1:9" x14ac:dyDescent="0.25">
      <c r="D40" s="41"/>
      <c r="E40" s="41"/>
      <c r="F40" s="41"/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7D00C-0350-42D2-9F1D-626973FDD86D}">
  <sheetPr>
    <tabColor rgb="FF92D050"/>
    <pageSetUpPr fitToPage="1"/>
  </sheetPr>
  <dimension ref="A1:M16"/>
  <sheetViews>
    <sheetView showGridLines="0" zoomScaleNormal="100" workbookViewId="0">
      <pane ySplit="5" topLeftCell="A6" activePane="bottomLeft" state="frozen"/>
      <selection activeCell="J30" sqref="J30"/>
      <selection pane="bottomLeft" activeCell="J30" sqref="J30"/>
    </sheetView>
  </sheetViews>
  <sheetFormatPr defaultRowHeight="15" x14ac:dyDescent="0.25"/>
  <cols>
    <col min="1" max="1" width="29" customWidth="1"/>
    <col min="2" max="2" width="49" customWidth="1"/>
    <col min="3" max="3" width="16.7109375" customWidth="1"/>
    <col min="4" max="5" width="16.7109375" hidden="1" customWidth="1"/>
    <col min="6" max="8" width="16.7109375" customWidth="1"/>
    <col min="9" max="9" width="44.7109375" customWidth="1"/>
    <col min="10" max="10" width="14.7109375" customWidth="1"/>
    <col min="11" max="11" width="56" customWidth="1"/>
    <col min="12" max="13" width="13.7109375" customWidth="1"/>
  </cols>
  <sheetData>
    <row r="1" spans="1:13" ht="26.25" customHeight="1" x14ac:dyDescent="0.25"/>
    <row r="2" spans="1:13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  <c r="I2" s="329"/>
    </row>
    <row r="3" spans="1:13" ht="18" x14ac:dyDescent="0.25">
      <c r="A3" s="334" t="s">
        <v>3988</v>
      </c>
      <c r="B3" s="334"/>
      <c r="C3" s="334"/>
      <c r="D3" s="334"/>
      <c r="E3" s="334"/>
      <c r="F3" s="334"/>
      <c r="G3" s="334"/>
      <c r="H3" s="334"/>
      <c r="I3" s="334"/>
    </row>
    <row r="4" spans="1:13" ht="18" customHeight="1" x14ac:dyDescent="0.5">
      <c r="A4" s="8"/>
      <c r="H4" s="241">
        <f>H7-F15</f>
        <v>0</v>
      </c>
    </row>
    <row r="5" spans="1:13" ht="24" customHeight="1" x14ac:dyDescent="0.25">
      <c r="A5" s="9" t="s">
        <v>0</v>
      </c>
      <c r="B5" s="10" t="s">
        <v>1</v>
      </c>
      <c r="C5" s="9" t="s">
        <v>2020</v>
      </c>
      <c r="D5" s="9" t="s">
        <v>2021</v>
      </c>
      <c r="E5" s="9" t="s">
        <v>3202</v>
      </c>
      <c r="F5" s="9" t="s">
        <v>3553</v>
      </c>
      <c r="G5" s="9" t="s">
        <v>2022</v>
      </c>
      <c r="H5" s="9" t="s">
        <v>2023</v>
      </c>
      <c r="I5" s="11" t="s">
        <v>2024</v>
      </c>
      <c r="L5" s="47"/>
      <c r="M5" s="47"/>
    </row>
    <row r="6" spans="1:13" ht="15" customHeight="1" x14ac:dyDescent="0.25">
      <c r="A6" s="1"/>
      <c r="B6" s="1" t="s">
        <v>2</v>
      </c>
    </row>
    <row r="7" spans="1:13" ht="15" customHeight="1" x14ac:dyDescent="0.25">
      <c r="A7" s="291" t="s">
        <v>3192</v>
      </c>
      <c r="B7" s="291"/>
      <c r="C7" s="294">
        <v>11263.91</v>
      </c>
      <c r="D7" s="294">
        <v>7965.59</v>
      </c>
      <c r="E7" s="294">
        <v>7965.59</v>
      </c>
      <c r="F7" s="294">
        <v>7965.59</v>
      </c>
      <c r="G7" s="294">
        <v>7965.59</v>
      </c>
      <c r="H7" s="294">
        <f>F15</f>
        <v>723.60333333333256</v>
      </c>
      <c r="I7" s="291"/>
    </row>
    <row r="8" spans="1:13" x14ac:dyDescent="0.25">
      <c r="A8" s="23" t="s">
        <v>2015</v>
      </c>
      <c r="B8" s="23" t="s">
        <v>2</v>
      </c>
      <c r="C8" s="29"/>
      <c r="D8" s="29"/>
      <c r="E8" s="29"/>
      <c r="F8" s="29"/>
      <c r="G8" s="29"/>
      <c r="H8" s="29"/>
      <c r="I8" s="29"/>
    </row>
    <row r="9" spans="1:13" x14ac:dyDescent="0.25">
      <c r="A9" s="30" t="s">
        <v>3193</v>
      </c>
      <c r="B9" s="30" t="s">
        <v>3194</v>
      </c>
      <c r="C9" s="31">
        <v>8953.64</v>
      </c>
      <c r="D9" s="31">
        <v>736.8</v>
      </c>
      <c r="E9" s="31">
        <v>396.38</v>
      </c>
      <c r="F9" s="31">
        <f>E9/9*12</f>
        <v>528.50666666666666</v>
      </c>
      <c r="G9" s="31">
        <v>50000</v>
      </c>
      <c r="H9" s="31">
        <v>5000</v>
      </c>
      <c r="I9" s="29"/>
    </row>
    <row r="10" spans="1:13" x14ac:dyDescent="0.25">
      <c r="A10" s="23" t="s">
        <v>2018</v>
      </c>
      <c r="B10" s="23" t="s">
        <v>2</v>
      </c>
      <c r="C10" s="32">
        <v>8953.64</v>
      </c>
      <c r="D10" s="32">
        <v>736.8</v>
      </c>
      <c r="E10" s="32">
        <f>E9</f>
        <v>396.38</v>
      </c>
      <c r="F10" s="32">
        <f>F9</f>
        <v>528.50666666666666</v>
      </c>
      <c r="G10" s="32">
        <f>SUM(G9)</f>
        <v>50000</v>
      </c>
      <c r="H10" s="32">
        <f>SUM(H9)</f>
        <v>5000</v>
      </c>
      <c r="I10" s="29"/>
    </row>
    <row r="11" spans="1:13" x14ac:dyDescent="0.25">
      <c r="A11" s="1" t="s">
        <v>740</v>
      </c>
      <c r="B11" s="1"/>
      <c r="C11" s="4"/>
      <c r="D11" s="4"/>
      <c r="E11" s="4"/>
      <c r="F11" s="4"/>
      <c r="G11" s="6"/>
      <c r="H11" s="6"/>
    </row>
    <row r="12" spans="1:13" x14ac:dyDescent="0.25">
      <c r="A12" s="1" t="s">
        <v>2015</v>
      </c>
      <c r="B12" s="1" t="s">
        <v>2</v>
      </c>
      <c r="C12" s="40"/>
      <c r="G12" s="40"/>
    </row>
    <row r="13" spans="1:13" ht="15" customHeight="1" x14ac:dyDescent="0.25">
      <c r="A13" s="2" t="s">
        <v>2016</v>
      </c>
      <c r="B13" s="2" t="s">
        <v>2017</v>
      </c>
      <c r="C13" s="3">
        <v>12251.96</v>
      </c>
      <c r="D13" s="3">
        <v>5327.96</v>
      </c>
      <c r="E13" s="3">
        <v>5827.87</v>
      </c>
      <c r="F13" s="3">
        <f>E13/9*12</f>
        <v>7770.4933333333338</v>
      </c>
      <c r="G13" s="3">
        <v>50000</v>
      </c>
      <c r="H13" s="5">
        <v>5000</v>
      </c>
    </row>
    <row r="14" spans="1:13" ht="15" customHeight="1" x14ac:dyDescent="0.25">
      <c r="A14" s="1" t="s">
        <v>2018</v>
      </c>
      <c r="B14" s="1" t="s">
        <v>2</v>
      </c>
      <c r="C14" s="4">
        <v>12251.96</v>
      </c>
      <c r="D14" s="4">
        <v>5327.96</v>
      </c>
      <c r="E14" s="4">
        <f>E13</f>
        <v>5827.87</v>
      </c>
      <c r="F14" s="4">
        <f>F13</f>
        <v>7770.4933333333338</v>
      </c>
      <c r="G14" s="4">
        <f>SUM(G13)</f>
        <v>50000</v>
      </c>
      <c r="H14" s="6">
        <f>SUM(H13)</f>
        <v>5000</v>
      </c>
    </row>
    <row r="15" spans="1:13" ht="15" customHeight="1" x14ac:dyDescent="0.25">
      <c r="A15" s="291" t="s">
        <v>3195</v>
      </c>
      <c r="B15" s="291" t="s">
        <v>2</v>
      </c>
      <c r="C15" s="294">
        <f>C7+C10-C14</f>
        <v>7965.59</v>
      </c>
      <c r="D15" s="294">
        <f t="shared" ref="D15:H15" si="0">D7+D10-D14</f>
        <v>3374.4299999999994</v>
      </c>
      <c r="E15" s="294">
        <f t="shared" si="0"/>
        <v>2534.0999999999995</v>
      </c>
      <c r="F15" s="294">
        <f t="shared" si="0"/>
        <v>723.60333333333256</v>
      </c>
      <c r="G15" s="294">
        <f t="shared" si="0"/>
        <v>7965.5899999999965</v>
      </c>
      <c r="H15" s="294">
        <f t="shared" si="0"/>
        <v>723.60333333333256</v>
      </c>
      <c r="I15" s="291"/>
    </row>
    <row r="16" spans="1:13" x14ac:dyDescent="0.25">
      <c r="A16" s="2" t="s">
        <v>2</v>
      </c>
      <c r="B16" s="2" t="s">
        <v>2</v>
      </c>
      <c r="C16" s="2" t="s">
        <v>2</v>
      </c>
      <c r="D16" s="2" t="s">
        <v>2</v>
      </c>
      <c r="E16" s="2"/>
      <c r="F16" s="2"/>
      <c r="G16" s="2" t="s">
        <v>2</v>
      </c>
      <c r="H16" s="2" t="s">
        <v>2</v>
      </c>
    </row>
  </sheetData>
  <mergeCells count="2">
    <mergeCell ref="A2:I2"/>
    <mergeCell ref="A3:I3"/>
  </mergeCells>
  <printOptions headings="1"/>
  <pageMargins left="0.7" right="0.7" top="0.75" bottom="0.75" header="0.3" footer="0.3"/>
  <pageSetup paperSize="5" scale="83" fitToHeight="0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700"/>
  <sheetViews>
    <sheetView showGridLines="0" zoomScale="110" zoomScaleNormal="110" workbookViewId="0">
      <pane ySplit="4" topLeftCell="A1012" activePane="bottomLeft" state="frozen"/>
      <selection activeCell="A1078" sqref="A1078"/>
      <selection pane="bottomLeft" activeCell="A1078" sqref="A1078"/>
    </sheetView>
  </sheetViews>
  <sheetFormatPr defaultRowHeight="15" x14ac:dyDescent="0.25"/>
  <cols>
    <col min="1" max="1" width="45" customWidth="1"/>
    <col min="2" max="2" width="49" customWidth="1"/>
    <col min="3" max="6" width="16.7109375" customWidth="1"/>
    <col min="7" max="7" width="44.7109375" customWidth="1"/>
    <col min="10" max="11" width="13.7109375" customWidth="1"/>
  </cols>
  <sheetData>
    <row r="1" spans="1:11" ht="26.25" customHeight="1" x14ac:dyDescent="0.25"/>
    <row r="2" spans="1:11" ht="41.25" customHeight="1" x14ac:dyDescent="0.25">
      <c r="A2" s="329" t="s">
        <v>2019</v>
      </c>
      <c r="B2" s="329"/>
      <c r="C2" s="329"/>
      <c r="D2" s="329"/>
      <c r="E2" s="329"/>
      <c r="F2" s="329"/>
      <c r="G2" s="329"/>
    </row>
    <row r="3" spans="1:11" ht="18" customHeight="1" x14ac:dyDescent="0.5">
      <c r="A3" s="8"/>
    </row>
    <row r="4" spans="1:11" ht="24" customHeight="1" x14ac:dyDescent="0.25">
      <c r="A4" s="9" t="s">
        <v>0</v>
      </c>
      <c r="B4" s="10" t="s">
        <v>1</v>
      </c>
      <c r="C4" s="9" t="s">
        <v>2020</v>
      </c>
      <c r="D4" s="9" t="s">
        <v>2021</v>
      </c>
      <c r="E4" s="9" t="s">
        <v>2022</v>
      </c>
      <c r="F4" s="9" t="s">
        <v>2023</v>
      </c>
      <c r="G4" s="11" t="s">
        <v>2024</v>
      </c>
      <c r="J4" s="47" t="s">
        <v>3200</v>
      </c>
      <c r="K4" s="47" t="s">
        <v>3201</v>
      </c>
    </row>
    <row r="5" spans="1:11" ht="15" customHeight="1" x14ac:dyDescent="0.25">
      <c r="A5" s="1" t="s">
        <v>3</v>
      </c>
      <c r="B5" s="1" t="s">
        <v>2</v>
      </c>
    </row>
    <row r="6" spans="1:11" x14ac:dyDescent="0.25">
      <c r="A6" s="12" t="s">
        <v>2025</v>
      </c>
      <c r="B6" s="13" t="s">
        <v>2</v>
      </c>
      <c r="C6" s="15">
        <v>5394903.2000000002</v>
      </c>
      <c r="D6" s="15">
        <v>6294005.1399999997</v>
      </c>
      <c r="E6" s="15">
        <v>6294005.1399999997</v>
      </c>
      <c r="F6" s="15">
        <f>E790</f>
        <v>4060221.9399999976</v>
      </c>
      <c r="G6" s="14"/>
    </row>
    <row r="7" spans="1:11" s="7" customFormat="1" x14ac:dyDescent="0.25">
      <c r="A7" s="16" t="s">
        <v>2026</v>
      </c>
      <c r="B7" s="16" t="s">
        <v>2</v>
      </c>
      <c r="C7" s="17"/>
      <c r="D7" s="17"/>
      <c r="E7" s="17"/>
      <c r="F7" s="17"/>
      <c r="G7" s="17"/>
      <c r="J7"/>
      <c r="K7"/>
    </row>
    <row r="8" spans="1:11" s="7" customFormat="1" x14ac:dyDescent="0.25">
      <c r="A8" s="16" t="s">
        <v>2027</v>
      </c>
      <c r="B8" s="16" t="s">
        <v>2</v>
      </c>
      <c r="C8" s="17"/>
      <c r="D8" s="17"/>
      <c r="E8" s="17"/>
      <c r="F8" s="17"/>
      <c r="G8" s="17"/>
      <c r="J8"/>
      <c r="K8"/>
    </row>
    <row r="9" spans="1:11" s="7" customFormat="1" x14ac:dyDescent="0.25">
      <c r="A9" s="18" t="s">
        <v>2028</v>
      </c>
      <c r="B9" s="18" t="s">
        <v>2029</v>
      </c>
      <c r="C9" s="19">
        <v>1846247.86</v>
      </c>
      <c r="D9" s="19">
        <v>1013339.57</v>
      </c>
      <c r="E9" s="19">
        <v>1893569.82</v>
      </c>
      <c r="F9" s="19">
        <v>0</v>
      </c>
      <c r="G9" s="17"/>
      <c r="J9"/>
      <c r="K9"/>
    </row>
    <row r="10" spans="1:11" s="7" customFormat="1" x14ac:dyDescent="0.25">
      <c r="A10" s="18" t="s">
        <v>2030</v>
      </c>
      <c r="B10" s="18" t="s">
        <v>2031</v>
      </c>
      <c r="C10" s="19">
        <v>3389639.95</v>
      </c>
      <c r="D10" s="19">
        <v>1552900.96</v>
      </c>
      <c r="E10" s="19">
        <v>2800000</v>
      </c>
      <c r="F10" s="19">
        <v>0</v>
      </c>
      <c r="G10" s="17"/>
      <c r="J10"/>
      <c r="K10"/>
    </row>
    <row r="11" spans="1:11" s="7" customFormat="1" x14ac:dyDescent="0.25">
      <c r="A11" s="18" t="s">
        <v>2032</v>
      </c>
      <c r="B11" s="18" t="s">
        <v>2033</v>
      </c>
      <c r="C11" s="19">
        <v>235029.56</v>
      </c>
      <c r="D11" s="19">
        <v>106508.38</v>
      </c>
      <c r="E11" s="19">
        <v>201600</v>
      </c>
      <c r="F11" s="19">
        <v>0</v>
      </c>
      <c r="G11" s="17"/>
      <c r="J11"/>
      <c r="K11"/>
    </row>
    <row r="12" spans="1:11" s="7" customFormat="1" x14ac:dyDescent="0.25">
      <c r="A12" s="18" t="s">
        <v>2034</v>
      </c>
      <c r="B12" s="18" t="s">
        <v>2035</v>
      </c>
      <c r="C12" s="19">
        <v>3746.59</v>
      </c>
      <c r="D12" s="19">
        <v>2001.99</v>
      </c>
      <c r="E12" s="19">
        <v>4000</v>
      </c>
      <c r="F12" s="19">
        <v>0</v>
      </c>
      <c r="G12" s="17"/>
      <c r="J12"/>
      <c r="K12"/>
    </row>
    <row r="13" spans="1:11" s="7" customFormat="1" x14ac:dyDescent="0.25">
      <c r="A13" s="18" t="s">
        <v>2036</v>
      </c>
      <c r="B13" s="18" t="s">
        <v>2037</v>
      </c>
      <c r="C13" s="19">
        <v>611094.72</v>
      </c>
      <c r="D13" s="19">
        <v>402745.69</v>
      </c>
      <c r="E13" s="19">
        <v>570000</v>
      </c>
      <c r="F13" s="19">
        <v>0</v>
      </c>
      <c r="G13" s="17"/>
      <c r="J13"/>
      <c r="K13"/>
    </row>
    <row r="14" spans="1:11" s="7" customFormat="1" x14ac:dyDescent="0.25">
      <c r="A14" s="18" t="s">
        <v>2038</v>
      </c>
      <c r="B14" s="18" t="s">
        <v>2039</v>
      </c>
      <c r="C14" s="19">
        <v>238609.16</v>
      </c>
      <c r="D14" s="19">
        <v>228363.91</v>
      </c>
      <c r="E14" s="19">
        <v>200000</v>
      </c>
      <c r="F14" s="19">
        <v>0</v>
      </c>
      <c r="G14" s="17"/>
      <c r="J14"/>
      <c r="K14"/>
    </row>
    <row r="15" spans="1:11" s="7" customFormat="1" x14ac:dyDescent="0.25">
      <c r="A15" s="18" t="s">
        <v>2040</v>
      </c>
      <c r="B15" s="18" t="s">
        <v>2041</v>
      </c>
      <c r="C15" s="19">
        <v>158626.38</v>
      </c>
      <c r="D15" s="19">
        <v>73614.05</v>
      </c>
      <c r="E15" s="19">
        <v>150000</v>
      </c>
      <c r="F15" s="19">
        <v>0</v>
      </c>
      <c r="G15" s="17"/>
      <c r="J15"/>
      <c r="K15"/>
    </row>
    <row r="16" spans="1:11" s="7" customFormat="1" x14ac:dyDescent="0.25">
      <c r="A16" s="18" t="s">
        <v>2042</v>
      </c>
      <c r="B16" s="18" t="s">
        <v>2043</v>
      </c>
      <c r="C16" s="19">
        <v>0</v>
      </c>
      <c r="D16" s="19">
        <v>0</v>
      </c>
      <c r="E16" s="19">
        <v>0</v>
      </c>
      <c r="F16" s="19">
        <v>0</v>
      </c>
      <c r="G16" s="17"/>
      <c r="J16"/>
      <c r="K16"/>
    </row>
    <row r="17" spans="1:11" s="7" customFormat="1" x14ac:dyDescent="0.25">
      <c r="A17" s="18" t="s">
        <v>2044</v>
      </c>
      <c r="B17" s="18" t="s">
        <v>2045</v>
      </c>
      <c r="C17" s="19">
        <v>1243001.56</v>
      </c>
      <c r="D17" s="19">
        <v>460296.49</v>
      </c>
      <c r="E17" s="19">
        <v>1083618.0900000001</v>
      </c>
      <c r="F17" s="19">
        <v>0</v>
      </c>
      <c r="G17" s="17"/>
      <c r="J17"/>
      <c r="K17"/>
    </row>
    <row r="18" spans="1:11" s="7" customFormat="1" x14ac:dyDescent="0.25">
      <c r="A18" s="16" t="s">
        <v>2046</v>
      </c>
      <c r="B18" s="16" t="s">
        <v>2</v>
      </c>
      <c r="C18" s="20">
        <v>7725995.7800000003</v>
      </c>
      <c r="D18" s="20">
        <v>3839771.04</v>
      </c>
      <c r="E18" s="20">
        <f>SUM(E9:E17)</f>
        <v>6902787.9100000001</v>
      </c>
      <c r="F18" s="20">
        <f>SUM(F9:F17)</f>
        <v>0</v>
      </c>
      <c r="G18" s="17"/>
      <c r="J18"/>
      <c r="K18"/>
    </row>
    <row r="19" spans="1:11" s="7" customFormat="1" x14ac:dyDescent="0.25">
      <c r="A19" s="16" t="s">
        <v>2</v>
      </c>
      <c r="B19" s="16" t="s">
        <v>2</v>
      </c>
      <c r="C19" s="16" t="s">
        <v>2</v>
      </c>
      <c r="D19" s="16" t="s">
        <v>2</v>
      </c>
      <c r="E19" s="16" t="s">
        <v>2</v>
      </c>
      <c r="F19" s="16" t="s">
        <v>2</v>
      </c>
      <c r="G19" s="17"/>
      <c r="J19"/>
      <c r="K19"/>
    </row>
    <row r="20" spans="1:11" s="7" customFormat="1" x14ac:dyDescent="0.25">
      <c r="A20" s="16" t="s">
        <v>2048</v>
      </c>
      <c r="B20" s="16" t="s">
        <v>2</v>
      </c>
      <c r="C20" s="17"/>
      <c r="D20" s="17"/>
      <c r="E20" s="17"/>
      <c r="F20" s="17"/>
      <c r="G20" s="17"/>
      <c r="J20"/>
      <c r="K20"/>
    </row>
    <row r="21" spans="1:11" s="7" customFormat="1" x14ac:dyDescent="0.25">
      <c r="A21" s="16" t="s">
        <v>2049</v>
      </c>
      <c r="B21" s="16" t="s">
        <v>2</v>
      </c>
      <c r="C21" s="17"/>
      <c r="D21" s="17"/>
      <c r="E21" s="17"/>
      <c r="F21" s="17"/>
      <c r="G21" s="17"/>
      <c r="J21"/>
      <c r="K21"/>
    </row>
    <row r="22" spans="1:11" s="7" customFormat="1" x14ac:dyDescent="0.25">
      <c r="A22" s="18" t="s">
        <v>2050</v>
      </c>
      <c r="B22" s="18" t="s">
        <v>2051</v>
      </c>
      <c r="C22" s="19">
        <v>167738.74</v>
      </c>
      <c r="D22" s="19">
        <v>87620.32</v>
      </c>
      <c r="E22" s="19">
        <v>164000</v>
      </c>
      <c r="F22" s="19">
        <v>0</v>
      </c>
      <c r="G22" s="17"/>
      <c r="J22"/>
      <c r="K22"/>
    </row>
    <row r="23" spans="1:11" s="7" customFormat="1" x14ac:dyDescent="0.25">
      <c r="A23" s="18" t="s">
        <v>2052</v>
      </c>
      <c r="B23" s="18" t="s">
        <v>2053</v>
      </c>
      <c r="C23" s="19">
        <v>166846.68</v>
      </c>
      <c r="D23" s="19">
        <v>190352.6</v>
      </c>
      <c r="E23" s="19">
        <v>160000</v>
      </c>
      <c r="F23" s="19">
        <v>0</v>
      </c>
      <c r="G23" s="17"/>
      <c r="J23"/>
      <c r="K23"/>
    </row>
    <row r="24" spans="1:11" s="7" customFormat="1" x14ac:dyDescent="0.25">
      <c r="A24" s="18" t="s">
        <v>2054</v>
      </c>
      <c r="B24" s="18" t="s">
        <v>2055</v>
      </c>
      <c r="C24" s="19">
        <v>123755.03</v>
      </c>
      <c r="D24" s="19">
        <v>73426.179999999993</v>
      </c>
      <c r="E24" s="19">
        <v>100000</v>
      </c>
      <c r="F24" s="19">
        <v>0</v>
      </c>
      <c r="G24" s="17"/>
      <c r="J24"/>
      <c r="K24"/>
    </row>
    <row r="25" spans="1:11" s="7" customFormat="1" x14ac:dyDescent="0.25">
      <c r="A25" s="16" t="s">
        <v>2056</v>
      </c>
      <c r="B25" s="16" t="s">
        <v>2</v>
      </c>
      <c r="C25" s="20">
        <v>458340.45</v>
      </c>
      <c r="D25" s="20">
        <v>351399.1</v>
      </c>
      <c r="E25" s="20">
        <f>SUM(E22:E24)</f>
        <v>424000</v>
      </c>
      <c r="F25" s="20">
        <f>SUM(F22:F24)</f>
        <v>0</v>
      </c>
      <c r="G25" s="17"/>
      <c r="J25"/>
      <c r="K25"/>
    </row>
    <row r="26" spans="1:11" s="7" customFormat="1" x14ac:dyDescent="0.25">
      <c r="A26" s="16" t="s">
        <v>2</v>
      </c>
      <c r="B26" s="16" t="s">
        <v>2</v>
      </c>
      <c r="C26" s="16" t="s">
        <v>2</v>
      </c>
      <c r="D26" s="16" t="s">
        <v>2</v>
      </c>
      <c r="E26" s="16" t="s">
        <v>2</v>
      </c>
      <c r="F26" s="16" t="s">
        <v>2</v>
      </c>
      <c r="G26" s="17"/>
      <c r="J26"/>
      <c r="K26"/>
    </row>
    <row r="27" spans="1:11" s="7" customFormat="1" x14ac:dyDescent="0.25">
      <c r="A27" s="16" t="s">
        <v>2057</v>
      </c>
      <c r="B27" s="16" t="s">
        <v>2</v>
      </c>
      <c r="C27" s="17"/>
      <c r="D27" s="17"/>
      <c r="E27" s="17"/>
      <c r="F27" s="17"/>
      <c r="G27" s="17"/>
      <c r="J27"/>
      <c r="K27"/>
    </row>
    <row r="28" spans="1:11" s="7" customFormat="1" x14ac:dyDescent="0.25">
      <c r="A28" s="18" t="s">
        <v>2058</v>
      </c>
      <c r="B28" s="18" t="s">
        <v>2059</v>
      </c>
      <c r="C28" s="19">
        <v>373165.8</v>
      </c>
      <c r="D28" s="19">
        <v>108306.75</v>
      </c>
      <c r="E28" s="19">
        <v>300000</v>
      </c>
      <c r="F28" s="19">
        <v>0</v>
      </c>
      <c r="G28" s="17"/>
      <c r="J28"/>
      <c r="K28"/>
    </row>
    <row r="29" spans="1:11" s="7" customFormat="1" x14ac:dyDescent="0.25">
      <c r="A29" s="18" t="s">
        <v>2060</v>
      </c>
      <c r="B29" s="18" t="s">
        <v>2061</v>
      </c>
      <c r="C29" s="19">
        <v>14153.05</v>
      </c>
      <c r="D29" s="19">
        <v>4820.5</v>
      </c>
      <c r="E29" s="19">
        <v>7500</v>
      </c>
      <c r="F29" s="19">
        <v>0</v>
      </c>
      <c r="G29" s="17"/>
      <c r="J29"/>
      <c r="K29"/>
    </row>
    <row r="30" spans="1:11" s="7" customFormat="1" x14ac:dyDescent="0.25">
      <c r="A30" s="18" t="s">
        <v>2062</v>
      </c>
      <c r="B30" s="18" t="s">
        <v>2063</v>
      </c>
      <c r="C30" s="19">
        <v>107103</v>
      </c>
      <c r="D30" s="19">
        <v>31137</v>
      </c>
      <c r="E30" s="19">
        <v>50000</v>
      </c>
      <c r="F30" s="19">
        <v>0</v>
      </c>
      <c r="G30" s="17"/>
      <c r="J30"/>
      <c r="K30"/>
    </row>
    <row r="31" spans="1:11" s="7" customFormat="1" x14ac:dyDescent="0.25">
      <c r="A31" s="18" t="s">
        <v>2064</v>
      </c>
      <c r="B31" s="18" t="s">
        <v>2065</v>
      </c>
      <c r="C31" s="19">
        <v>58838</v>
      </c>
      <c r="D31" s="19">
        <v>13694</v>
      </c>
      <c r="E31" s="19">
        <v>30000</v>
      </c>
      <c r="F31" s="19">
        <v>0</v>
      </c>
      <c r="G31" s="17"/>
      <c r="J31"/>
      <c r="K31"/>
    </row>
    <row r="32" spans="1:11" s="7" customFormat="1" x14ac:dyDescent="0.25">
      <c r="A32" s="18" t="s">
        <v>2066</v>
      </c>
      <c r="B32" s="18" t="s">
        <v>2067</v>
      </c>
      <c r="C32" s="19">
        <v>0</v>
      </c>
      <c r="D32" s="19">
        <v>0</v>
      </c>
      <c r="E32" s="19">
        <v>0</v>
      </c>
      <c r="F32" s="19">
        <v>0</v>
      </c>
      <c r="G32" s="17"/>
      <c r="J32"/>
      <c r="K32"/>
    </row>
    <row r="33" spans="1:11" s="7" customFormat="1" x14ac:dyDescent="0.25">
      <c r="A33" s="18" t="s">
        <v>2068</v>
      </c>
      <c r="B33" s="18" t="s">
        <v>2069</v>
      </c>
      <c r="C33" s="19">
        <v>77909.3</v>
      </c>
      <c r="D33" s="19">
        <v>0</v>
      </c>
      <c r="E33" s="19">
        <v>15000</v>
      </c>
      <c r="F33" s="19">
        <v>0</v>
      </c>
      <c r="G33" s="17"/>
      <c r="J33"/>
      <c r="K33"/>
    </row>
    <row r="34" spans="1:11" s="7" customFormat="1" x14ac:dyDescent="0.25">
      <c r="A34" s="18" t="s">
        <v>2070</v>
      </c>
      <c r="B34" s="18" t="s">
        <v>2071</v>
      </c>
      <c r="C34" s="19">
        <v>3550.8</v>
      </c>
      <c r="D34" s="19">
        <v>826.6</v>
      </c>
      <c r="E34" s="19">
        <v>1500</v>
      </c>
      <c r="F34" s="19">
        <v>0</v>
      </c>
      <c r="G34" s="17"/>
      <c r="J34"/>
      <c r="K34"/>
    </row>
    <row r="35" spans="1:11" s="7" customFormat="1" x14ac:dyDescent="0.25">
      <c r="A35" s="18" t="s">
        <v>2072</v>
      </c>
      <c r="B35" s="18" t="s">
        <v>2073</v>
      </c>
      <c r="C35" s="19">
        <v>4182.75</v>
      </c>
      <c r="D35" s="19">
        <v>1427.5</v>
      </c>
      <c r="E35" s="19">
        <v>2500</v>
      </c>
      <c r="F35" s="19">
        <v>0</v>
      </c>
      <c r="G35" s="17"/>
      <c r="J35"/>
      <c r="K35"/>
    </row>
    <row r="36" spans="1:11" s="7" customFormat="1" x14ac:dyDescent="0.25">
      <c r="A36" s="18" t="s">
        <v>2074</v>
      </c>
      <c r="B36" s="18" t="s">
        <v>2075</v>
      </c>
      <c r="C36" s="19">
        <v>331762.09999999998</v>
      </c>
      <c r="D36" s="19">
        <v>108637.55</v>
      </c>
      <c r="E36" s="19">
        <v>100000</v>
      </c>
      <c r="F36" s="19">
        <v>0</v>
      </c>
      <c r="G36" s="17"/>
      <c r="J36"/>
      <c r="K36"/>
    </row>
    <row r="37" spans="1:11" s="7" customFormat="1" x14ac:dyDescent="0.25">
      <c r="A37" s="18" t="s">
        <v>2076</v>
      </c>
      <c r="B37" s="18" t="s">
        <v>2077</v>
      </c>
      <c r="C37" s="19">
        <v>0</v>
      </c>
      <c r="D37" s="19">
        <v>0</v>
      </c>
      <c r="E37" s="19">
        <v>0</v>
      </c>
      <c r="F37" s="19">
        <v>0</v>
      </c>
      <c r="G37" s="17"/>
      <c r="J37"/>
      <c r="K37"/>
    </row>
    <row r="38" spans="1:11" s="7" customFormat="1" x14ac:dyDescent="0.25">
      <c r="A38" s="18" t="s">
        <v>2078</v>
      </c>
      <c r="B38" s="18" t="s">
        <v>2079</v>
      </c>
      <c r="C38" s="19">
        <v>9346.2999999999993</v>
      </c>
      <c r="D38" s="19">
        <v>3437.9</v>
      </c>
      <c r="E38" s="19">
        <v>2000</v>
      </c>
      <c r="F38" s="19">
        <v>0</v>
      </c>
      <c r="G38" s="17"/>
      <c r="J38"/>
      <c r="K38"/>
    </row>
    <row r="39" spans="1:11" s="7" customFormat="1" x14ac:dyDescent="0.25">
      <c r="A39" s="18" t="s">
        <v>2080</v>
      </c>
      <c r="B39" s="18" t="s">
        <v>2081</v>
      </c>
      <c r="C39" s="19">
        <v>400</v>
      </c>
      <c r="D39" s="19">
        <v>0</v>
      </c>
      <c r="E39" s="19">
        <v>0</v>
      </c>
      <c r="F39" s="19">
        <v>0</v>
      </c>
      <c r="G39" s="17"/>
      <c r="J39"/>
      <c r="K39"/>
    </row>
    <row r="40" spans="1:11" s="7" customFormat="1" x14ac:dyDescent="0.25">
      <c r="A40" s="18" t="s">
        <v>2082</v>
      </c>
      <c r="B40" s="18" t="s">
        <v>2083</v>
      </c>
      <c r="C40" s="19">
        <v>2861.93</v>
      </c>
      <c r="D40" s="19">
        <v>4332.3100000000004</v>
      </c>
      <c r="E40" s="19">
        <v>5000</v>
      </c>
      <c r="F40" s="19">
        <v>0</v>
      </c>
      <c r="G40" s="17"/>
      <c r="J40"/>
      <c r="K40"/>
    </row>
    <row r="41" spans="1:11" s="7" customFormat="1" x14ac:dyDescent="0.25">
      <c r="A41" s="18" t="s">
        <v>2084</v>
      </c>
      <c r="B41" s="18" t="s">
        <v>2085</v>
      </c>
      <c r="C41" s="19">
        <v>682.15</v>
      </c>
      <c r="D41" s="19">
        <v>783.75</v>
      </c>
      <c r="E41" s="19">
        <v>0</v>
      </c>
      <c r="F41" s="19">
        <v>0</v>
      </c>
      <c r="G41" s="17"/>
      <c r="J41"/>
      <c r="K41"/>
    </row>
    <row r="42" spans="1:11" s="7" customFormat="1" x14ac:dyDescent="0.25">
      <c r="A42" s="18" t="s">
        <v>2086</v>
      </c>
      <c r="B42" s="18" t="s">
        <v>2087</v>
      </c>
      <c r="C42" s="19">
        <v>1285</v>
      </c>
      <c r="D42" s="19">
        <v>83.25</v>
      </c>
      <c r="E42" s="19">
        <v>0</v>
      </c>
      <c r="F42" s="19">
        <v>0</v>
      </c>
      <c r="G42" s="17"/>
      <c r="J42"/>
      <c r="K42"/>
    </row>
    <row r="43" spans="1:11" s="7" customFormat="1" x14ac:dyDescent="0.25">
      <c r="A43" s="18" t="s">
        <v>2088</v>
      </c>
      <c r="B43" s="18" t="s">
        <v>2089</v>
      </c>
      <c r="C43" s="19">
        <v>17096.5</v>
      </c>
      <c r="D43" s="19">
        <v>16128.6</v>
      </c>
      <c r="E43" s="19">
        <v>10000</v>
      </c>
      <c r="F43" s="19">
        <v>0</v>
      </c>
      <c r="G43" s="17"/>
      <c r="J43"/>
      <c r="K43"/>
    </row>
    <row r="44" spans="1:11" s="7" customFormat="1" x14ac:dyDescent="0.25">
      <c r="A44" s="18" t="s">
        <v>2090</v>
      </c>
      <c r="B44" s="18" t="s">
        <v>2091</v>
      </c>
      <c r="C44" s="19">
        <v>2700</v>
      </c>
      <c r="D44" s="19">
        <v>2527.94</v>
      </c>
      <c r="E44" s="19">
        <v>2000</v>
      </c>
      <c r="F44" s="19">
        <v>0</v>
      </c>
      <c r="G44" s="17"/>
      <c r="J44"/>
      <c r="K44"/>
    </row>
    <row r="45" spans="1:11" s="7" customFormat="1" x14ac:dyDescent="0.25">
      <c r="A45" s="18" t="s">
        <v>2092</v>
      </c>
      <c r="B45" s="18" t="s">
        <v>2093</v>
      </c>
      <c r="C45" s="19">
        <v>390.5</v>
      </c>
      <c r="D45" s="19">
        <v>1930.75</v>
      </c>
      <c r="E45" s="19">
        <v>0</v>
      </c>
      <c r="F45" s="19">
        <v>0</v>
      </c>
      <c r="G45" s="17"/>
      <c r="J45"/>
      <c r="K45"/>
    </row>
    <row r="46" spans="1:11" s="7" customFormat="1" x14ac:dyDescent="0.25">
      <c r="A46" s="18" t="s">
        <v>2094</v>
      </c>
      <c r="B46" s="18" t="s">
        <v>2095</v>
      </c>
      <c r="C46" s="19">
        <v>0</v>
      </c>
      <c r="D46" s="19">
        <v>0</v>
      </c>
      <c r="E46" s="19">
        <v>0</v>
      </c>
      <c r="F46" s="19">
        <v>0</v>
      </c>
      <c r="G46" s="17"/>
      <c r="J46"/>
      <c r="K46"/>
    </row>
    <row r="47" spans="1:11" s="7" customFormat="1" x14ac:dyDescent="0.25">
      <c r="A47" s="18" t="s">
        <v>2096</v>
      </c>
      <c r="B47" s="18" t="s">
        <v>2097</v>
      </c>
      <c r="C47" s="19">
        <v>3790</v>
      </c>
      <c r="D47" s="19">
        <v>1874</v>
      </c>
      <c r="E47" s="19">
        <v>2000</v>
      </c>
      <c r="F47" s="19">
        <v>0</v>
      </c>
      <c r="G47" s="17"/>
      <c r="J47"/>
      <c r="K47"/>
    </row>
    <row r="48" spans="1:11" s="7" customFormat="1" x14ac:dyDescent="0.25">
      <c r="A48" s="18" t="s">
        <v>2098</v>
      </c>
      <c r="B48" s="18" t="s">
        <v>2099</v>
      </c>
      <c r="C48" s="19">
        <v>6685</v>
      </c>
      <c r="D48" s="19">
        <v>0</v>
      </c>
      <c r="E48" s="19">
        <v>0</v>
      </c>
      <c r="F48" s="19">
        <v>0</v>
      </c>
      <c r="G48" s="17"/>
      <c r="J48"/>
      <c r="K48"/>
    </row>
    <row r="49" spans="1:11" s="7" customFormat="1" x14ac:dyDescent="0.25">
      <c r="A49" s="16" t="s">
        <v>2100</v>
      </c>
      <c r="B49" s="16" t="s">
        <v>2</v>
      </c>
      <c r="C49" s="20">
        <v>1015902.18</v>
      </c>
      <c r="D49" s="20">
        <v>299948.40000000002</v>
      </c>
      <c r="E49" s="20">
        <f>SUM(E28:E48)</f>
        <v>527500</v>
      </c>
      <c r="F49" s="20">
        <f>SUM(F28:F48)</f>
        <v>0</v>
      </c>
      <c r="G49" s="17"/>
      <c r="J49"/>
      <c r="K49"/>
    </row>
    <row r="50" spans="1:11" s="7" customFormat="1" x14ac:dyDescent="0.25">
      <c r="A50" s="16" t="s">
        <v>2</v>
      </c>
      <c r="B50" s="16" t="s">
        <v>2</v>
      </c>
      <c r="C50" s="16" t="s">
        <v>2</v>
      </c>
      <c r="D50" s="16" t="s">
        <v>2</v>
      </c>
      <c r="E50" s="16" t="s">
        <v>2</v>
      </c>
      <c r="F50" s="16" t="s">
        <v>2</v>
      </c>
      <c r="G50" s="17"/>
      <c r="J50"/>
      <c r="K50"/>
    </row>
    <row r="51" spans="1:11" s="7" customFormat="1" x14ac:dyDescent="0.25">
      <c r="A51" s="16" t="s">
        <v>2101</v>
      </c>
      <c r="B51" s="16" t="s">
        <v>2</v>
      </c>
      <c r="C51" s="20">
        <v>1474242.63</v>
      </c>
      <c r="D51" s="20">
        <v>651347.5</v>
      </c>
      <c r="E51" s="20">
        <f>E25+E49</f>
        <v>951500</v>
      </c>
      <c r="F51" s="20">
        <f>F25+F49</f>
        <v>0</v>
      </c>
      <c r="G51" s="17"/>
      <c r="J51"/>
      <c r="K51"/>
    </row>
    <row r="52" spans="1:11" s="7" customFormat="1" x14ac:dyDescent="0.25">
      <c r="A52" s="16" t="s">
        <v>2</v>
      </c>
      <c r="B52" s="16" t="s">
        <v>2</v>
      </c>
      <c r="C52" s="16" t="s">
        <v>2</v>
      </c>
      <c r="D52" s="16" t="s">
        <v>2</v>
      </c>
      <c r="E52" s="16" t="s">
        <v>2</v>
      </c>
      <c r="F52" s="16" t="s">
        <v>2</v>
      </c>
      <c r="G52" s="17"/>
      <c r="J52"/>
      <c r="K52"/>
    </row>
    <row r="53" spans="1:11" s="7" customFormat="1" x14ac:dyDescent="0.25">
      <c r="A53" s="16" t="s">
        <v>2102</v>
      </c>
      <c r="B53" s="16" t="s">
        <v>2</v>
      </c>
      <c r="C53" s="17"/>
      <c r="D53" s="17"/>
      <c r="E53" s="17"/>
      <c r="F53" s="17"/>
      <c r="G53" s="17"/>
      <c r="J53"/>
      <c r="K53"/>
    </row>
    <row r="54" spans="1:11" s="7" customFormat="1" x14ac:dyDescent="0.25">
      <c r="A54" s="16" t="s">
        <v>2103</v>
      </c>
      <c r="B54" s="16" t="s">
        <v>2</v>
      </c>
      <c r="C54" s="17"/>
      <c r="D54" s="17"/>
      <c r="E54" s="17"/>
      <c r="F54" s="17"/>
      <c r="G54" s="17"/>
      <c r="J54"/>
      <c r="K54"/>
    </row>
    <row r="55" spans="1:11" s="7" customFormat="1" x14ac:dyDescent="0.25">
      <c r="A55" s="18" t="s">
        <v>2104</v>
      </c>
      <c r="B55" s="18" t="s">
        <v>2105</v>
      </c>
      <c r="C55" s="19">
        <v>0</v>
      </c>
      <c r="D55" s="19">
        <v>0</v>
      </c>
      <c r="E55" s="19">
        <v>0</v>
      </c>
      <c r="F55" s="19">
        <v>0</v>
      </c>
      <c r="G55" s="17"/>
      <c r="J55"/>
      <c r="K55"/>
    </row>
    <row r="56" spans="1:11" s="7" customFormat="1" x14ac:dyDescent="0.25">
      <c r="A56" s="18" t="s">
        <v>2106</v>
      </c>
      <c r="B56" s="18" t="s">
        <v>2107</v>
      </c>
      <c r="C56" s="19">
        <v>4097.3100000000004</v>
      </c>
      <c r="D56" s="19">
        <v>0</v>
      </c>
      <c r="E56" s="19">
        <v>2250</v>
      </c>
      <c r="F56" s="19">
        <v>0</v>
      </c>
      <c r="G56" s="17"/>
      <c r="J56"/>
      <c r="K56"/>
    </row>
    <row r="57" spans="1:11" s="7" customFormat="1" x14ac:dyDescent="0.25">
      <c r="A57" s="16" t="s">
        <v>2108</v>
      </c>
      <c r="B57" s="16" t="s">
        <v>2</v>
      </c>
      <c r="C57" s="20">
        <v>4097.3100000000004</v>
      </c>
      <c r="D57" s="20">
        <v>0</v>
      </c>
      <c r="E57" s="20">
        <f>SUM(E55:E56)</f>
        <v>2250</v>
      </c>
      <c r="F57" s="20">
        <f>SUM(F55:F56)</f>
        <v>0</v>
      </c>
      <c r="G57" s="17"/>
      <c r="J57"/>
      <c r="K57"/>
    </row>
    <row r="58" spans="1:11" s="7" customFormat="1" x14ac:dyDescent="0.25">
      <c r="A58" s="16" t="s">
        <v>2</v>
      </c>
      <c r="B58" s="16" t="s">
        <v>2</v>
      </c>
      <c r="C58" s="16" t="s">
        <v>2</v>
      </c>
      <c r="D58" s="16" t="s">
        <v>2</v>
      </c>
      <c r="E58" s="16" t="s">
        <v>2</v>
      </c>
      <c r="F58" s="16" t="s">
        <v>2</v>
      </c>
      <c r="G58" s="17"/>
      <c r="J58"/>
      <c r="K58"/>
    </row>
    <row r="59" spans="1:11" s="7" customFormat="1" x14ac:dyDescent="0.25">
      <c r="A59" s="18" t="s">
        <v>2109</v>
      </c>
      <c r="B59" s="18" t="s">
        <v>2110</v>
      </c>
      <c r="C59" s="19">
        <v>0</v>
      </c>
      <c r="D59" s="19">
        <v>0</v>
      </c>
      <c r="E59" s="19">
        <v>0</v>
      </c>
      <c r="F59" s="19">
        <v>0</v>
      </c>
      <c r="G59" s="17"/>
      <c r="J59"/>
      <c r="K59"/>
    </row>
    <row r="60" spans="1:11" s="7" customFormat="1" x14ac:dyDescent="0.25">
      <c r="A60" s="16" t="s">
        <v>2111</v>
      </c>
      <c r="B60" s="16" t="s">
        <v>2</v>
      </c>
      <c r="C60" s="17"/>
      <c r="D60" s="17"/>
      <c r="E60" s="17"/>
      <c r="F60" s="17"/>
      <c r="G60" s="17"/>
      <c r="J60"/>
      <c r="K60"/>
    </row>
    <row r="61" spans="1:11" s="7" customFormat="1" x14ac:dyDescent="0.25">
      <c r="A61" s="18" t="s">
        <v>2112</v>
      </c>
      <c r="B61" s="18" t="s">
        <v>2113</v>
      </c>
      <c r="C61" s="19">
        <v>0</v>
      </c>
      <c r="D61" s="19">
        <v>0</v>
      </c>
      <c r="E61" s="19">
        <v>0</v>
      </c>
      <c r="F61" s="19">
        <v>0</v>
      </c>
      <c r="G61" s="17"/>
      <c r="J61"/>
      <c r="K61"/>
    </row>
    <row r="62" spans="1:11" s="7" customFormat="1" x14ac:dyDescent="0.25">
      <c r="A62" s="18" t="s">
        <v>2114</v>
      </c>
      <c r="B62" s="18" t="s">
        <v>2115</v>
      </c>
      <c r="C62" s="19">
        <v>9981.9599999999991</v>
      </c>
      <c r="D62" s="19">
        <v>4159.1499999999996</v>
      </c>
      <c r="E62" s="19">
        <v>9981.9599999999991</v>
      </c>
      <c r="F62" s="19">
        <v>0</v>
      </c>
      <c r="G62" s="17"/>
      <c r="J62"/>
      <c r="K62"/>
    </row>
    <row r="63" spans="1:11" s="7" customFormat="1" x14ac:dyDescent="0.25">
      <c r="A63" s="18" t="s">
        <v>2116</v>
      </c>
      <c r="B63" s="18" t="s">
        <v>2117</v>
      </c>
      <c r="C63" s="19">
        <v>5717.38</v>
      </c>
      <c r="D63" s="19">
        <v>0</v>
      </c>
      <c r="E63" s="19">
        <v>0</v>
      </c>
      <c r="F63" s="19">
        <v>0</v>
      </c>
      <c r="G63" s="17"/>
      <c r="J63"/>
      <c r="K63"/>
    </row>
    <row r="64" spans="1:11" s="7" customFormat="1" x14ac:dyDescent="0.25">
      <c r="A64" s="18" t="s">
        <v>2118</v>
      </c>
      <c r="B64" s="18" t="s">
        <v>2119</v>
      </c>
      <c r="C64" s="19">
        <v>1251.2</v>
      </c>
      <c r="D64" s="19">
        <v>0</v>
      </c>
      <c r="E64" s="19">
        <v>0</v>
      </c>
      <c r="F64" s="19">
        <v>0</v>
      </c>
      <c r="G64" s="17"/>
      <c r="J64"/>
      <c r="K64"/>
    </row>
    <row r="65" spans="1:11" s="7" customFormat="1" x14ac:dyDescent="0.25">
      <c r="A65" s="18" t="s">
        <v>2120</v>
      </c>
      <c r="B65" s="18" t="s">
        <v>2121</v>
      </c>
      <c r="C65" s="19">
        <v>23088.44</v>
      </c>
      <c r="D65" s="19">
        <v>0</v>
      </c>
      <c r="E65" s="19">
        <v>0</v>
      </c>
      <c r="F65" s="19">
        <v>0</v>
      </c>
      <c r="G65" s="17"/>
      <c r="J65"/>
      <c r="K65"/>
    </row>
    <row r="66" spans="1:11" s="7" customFormat="1" x14ac:dyDescent="0.25">
      <c r="A66" s="18" t="s">
        <v>2122</v>
      </c>
      <c r="B66" s="18" t="s">
        <v>2123</v>
      </c>
      <c r="C66" s="19">
        <v>11174.7</v>
      </c>
      <c r="D66" s="19">
        <v>10228.01</v>
      </c>
      <c r="E66" s="19">
        <v>0</v>
      </c>
      <c r="F66" s="19">
        <v>0</v>
      </c>
      <c r="G66" s="17"/>
      <c r="J66"/>
      <c r="K66"/>
    </row>
    <row r="67" spans="1:11" s="7" customFormat="1" x14ac:dyDescent="0.25">
      <c r="A67" s="18" t="s">
        <v>2124</v>
      </c>
      <c r="B67" s="18" t="s">
        <v>2125</v>
      </c>
      <c r="C67" s="19">
        <v>3255.57</v>
      </c>
      <c r="D67" s="19">
        <v>26105.040000000001</v>
      </c>
      <c r="E67" s="19">
        <v>25000</v>
      </c>
      <c r="F67" s="19">
        <v>0</v>
      </c>
      <c r="G67" s="17"/>
      <c r="J67"/>
      <c r="K67"/>
    </row>
    <row r="68" spans="1:11" s="7" customFormat="1" x14ac:dyDescent="0.25">
      <c r="A68" s="16" t="s">
        <v>2126</v>
      </c>
      <c r="B68" s="16" t="s">
        <v>2</v>
      </c>
      <c r="C68" s="20">
        <v>54469.25</v>
      </c>
      <c r="D68" s="20">
        <v>40492.199999999997</v>
      </c>
      <c r="E68" s="20">
        <f>SUM(E61:E67)</f>
        <v>34981.96</v>
      </c>
      <c r="F68" s="20">
        <f>SUM(F61:F67)</f>
        <v>0</v>
      </c>
      <c r="G68" s="17"/>
      <c r="J68"/>
      <c r="K68"/>
    </row>
    <row r="69" spans="1:11" s="7" customFormat="1" x14ac:dyDescent="0.25">
      <c r="A69" s="16" t="s">
        <v>2</v>
      </c>
      <c r="B69" s="16" t="s">
        <v>2</v>
      </c>
      <c r="C69" s="16" t="s">
        <v>2</v>
      </c>
      <c r="D69" s="16" t="s">
        <v>2</v>
      </c>
      <c r="E69" s="16" t="s">
        <v>2</v>
      </c>
      <c r="F69" s="16" t="s">
        <v>2</v>
      </c>
      <c r="G69" s="17"/>
      <c r="J69"/>
      <c r="K69"/>
    </row>
    <row r="70" spans="1:11" s="7" customFormat="1" x14ac:dyDescent="0.25">
      <c r="A70" s="16" t="s">
        <v>2127</v>
      </c>
      <c r="B70" s="16" t="s">
        <v>2</v>
      </c>
      <c r="C70" s="17"/>
      <c r="D70" s="17"/>
      <c r="E70" s="17"/>
      <c r="F70" s="17"/>
      <c r="G70" s="17"/>
      <c r="J70"/>
      <c r="K70"/>
    </row>
    <row r="71" spans="1:11" s="7" customFormat="1" x14ac:dyDescent="0.25">
      <c r="A71" s="18" t="s">
        <v>2128</v>
      </c>
      <c r="B71" s="18" t="s">
        <v>2129</v>
      </c>
      <c r="C71" s="19">
        <v>0</v>
      </c>
      <c r="D71" s="19">
        <v>0</v>
      </c>
      <c r="E71" s="19">
        <v>0</v>
      </c>
      <c r="F71" s="19">
        <v>0</v>
      </c>
      <c r="G71" s="17"/>
      <c r="J71"/>
      <c r="K71"/>
    </row>
    <row r="72" spans="1:11" s="7" customFormat="1" x14ac:dyDescent="0.25">
      <c r="A72" s="18" t="s">
        <v>2130</v>
      </c>
      <c r="B72" s="18" t="s">
        <v>2131</v>
      </c>
      <c r="C72" s="19">
        <v>7000</v>
      </c>
      <c r="D72" s="19">
        <v>0</v>
      </c>
      <c r="E72" s="19">
        <v>0</v>
      </c>
      <c r="F72" s="19">
        <v>0</v>
      </c>
      <c r="G72" s="17"/>
      <c r="J72"/>
      <c r="K72"/>
    </row>
    <row r="73" spans="1:11" s="7" customFormat="1" x14ac:dyDescent="0.25">
      <c r="A73" s="18" t="s">
        <v>2132</v>
      </c>
      <c r="B73" s="18" t="s">
        <v>2133</v>
      </c>
      <c r="C73" s="19">
        <v>13624.45</v>
      </c>
      <c r="D73" s="19">
        <v>0</v>
      </c>
      <c r="E73" s="19">
        <v>0</v>
      </c>
      <c r="F73" s="19">
        <v>0</v>
      </c>
      <c r="G73" s="17"/>
      <c r="J73"/>
      <c r="K73"/>
    </row>
    <row r="74" spans="1:11" s="7" customFormat="1" x14ac:dyDescent="0.25">
      <c r="A74" s="18" t="s">
        <v>2134</v>
      </c>
      <c r="B74" s="18" t="s">
        <v>2117</v>
      </c>
      <c r="C74" s="19">
        <v>0</v>
      </c>
      <c r="D74" s="19">
        <v>0</v>
      </c>
      <c r="E74" s="19">
        <v>0</v>
      </c>
      <c r="F74" s="19">
        <v>0</v>
      </c>
      <c r="G74" s="17"/>
      <c r="J74"/>
      <c r="K74"/>
    </row>
    <row r="75" spans="1:11" s="7" customFormat="1" x14ac:dyDescent="0.25">
      <c r="A75" s="18" t="s">
        <v>2135</v>
      </c>
      <c r="B75" s="18" t="s">
        <v>2136</v>
      </c>
      <c r="C75" s="19">
        <v>0</v>
      </c>
      <c r="D75" s="19">
        <v>0</v>
      </c>
      <c r="E75" s="19">
        <v>0</v>
      </c>
      <c r="F75" s="19">
        <v>0</v>
      </c>
      <c r="G75" s="17"/>
      <c r="J75"/>
      <c r="K75"/>
    </row>
    <row r="76" spans="1:11" s="7" customFormat="1" x14ac:dyDescent="0.25">
      <c r="A76" s="18" t="s">
        <v>2137</v>
      </c>
      <c r="B76" s="18" t="s">
        <v>2138</v>
      </c>
      <c r="C76" s="19">
        <v>0</v>
      </c>
      <c r="D76" s="19">
        <v>0</v>
      </c>
      <c r="E76" s="19">
        <v>0</v>
      </c>
      <c r="F76" s="19">
        <v>0</v>
      </c>
      <c r="G76" s="17"/>
      <c r="J76"/>
      <c r="K76"/>
    </row>
    <row r="77" spans="1:11" s="7" customFormat="1" x14ac:dyDescent="0.25">
      <c r="A77" s="18" t="s">
        <v>2139</v>
      </c>
      <c r="B77" s="18" t="s">
        <v>2140</v>
      </c>
      <c r="C77" s="19">
        <v>0</v>
      </c>
      <c r="D77" s="19">
        <v>0</v>
      </c>
      <c r="E77" s="19">
        <v>0</v>
      </c>
      <c r="F77" s="19">
        <v>0</v>
      </c>
      <c r="G77" s="17"/>
      <c r="J77"/>
      <c r="K77"/>
    </row>
    <row r="78" spans="1:11" s="7" customFormat="1" x14ac:dyDescent="0.25">
      <c r="A78" s="18" t="s">
        <v>2141</v>
      </c>
      <c r="B78" s="18" t="s">
        <v>2142</v>
      </c>
      <c r="C78" s="19">
        <v>0</v>
      </c>
      <c r="D78" s="19">
        <v>0</v>
      </c>
      <c r="E78" s="19">
        <v>0</v>
      </c>
      <c r="F78" s="19">
        <v>0</v>
      </c>
      <c r="G78" s="17"/>
      <c r="J78"/>
      <c r="K78"/>
    </row>
    <row r="79" spans="1:11" s="7" customFormat="1" x14ac:dyDescent="0.25">
      <c r="A79" s="18" t="s">
        <v>2143</v>
      </c>
      <c r="B79" s="18" t="s">
        <v>2144</v>
      </c>
      <c r="C79" s="19">
        <v>0</v>
      </c>
      <c r="D79" s="19">
        <v>0</v>
      </c>
      <c r="E79" s="19">
        <v>0</v>
      </c>
      <c r="F79" s="19">
        <v>0</v>
      </c>
      <c r="G79" s="17"/>
      <c r="J79"/>
      <c r="K79"/>
    </row>
    <row r="80" spans="1:11" s="7" customFormat="1" x14ac:dyDescent="0.25">
      <c r="A80" s="18" t="s">
        <v>2145</v>
      </c>
      <c r="B80" s="18" t="s">
        <v>2146</v>
      </c>
      <c r="C80" s="19">
        <v>174600</v>
      </c>
      <c r="D80" s="19">
        <v>0</v>
      </c>
      <c r="E80" s="19">
        <v>0</v>
      </c>
      <c r="F80" s="19">
        <v>0</v>
      </c>
      <c r="G80" s="17"/>
      <c r="J80"/>
      <c r="K80"/>
    </row>
    <row r="81" spans="1:11" s="7" customFormat="1" x14ac:dyDescent="0.25">
      <c r="A81" s="18" t="s">
        <v>2147</v>
      </c>
      <c r="B81" s="18" t="s">
        <v>2148</v>
      </c>
      <c r="C81" s="19">
        <v>14028.28</v>
      </c>
      <c r="D81" s="19">
        <v>0</v>
      </c>
      <c r="E81" s="19">
        <v>20000</v>
      </c>
      <c r="F81" s="19">
        <v>0</v>
      </c>
      <c r="G81" s="17"/>
      <c r="J81"/>
      <c r="K81"/>
    </row>
    <row r="82" spans="1:11" s="7" customFormat="1" x14ac:dyDescent="0.25">
      <c r="A82" s="18" t="s">
        <v>2149</v>
      </c>
      <c r="B82" s="18" t="s">
        <v>2150</v>
      </c>
      <c r="C82" s="19">
        <v>0</v>
      </c>
      <c r="D82" s="19">
        <v>0</v>
      </c>
      <c r="E82" s="19">
        <v>0</v>
      </c>
      <c r="F82" s="19">
        <v>0</v>
      </c>
      <c r="G82" s="17"/>
      <c r="J82"/>
      <c r="K82"/>
    </row>
    <row r="83" spans="1:11" s="7" customFormat="1" x14ac:dyDescent="0.25">
      <c r="A83" s="18" t="s">
        <v>2151</v>
      </c>
      <c r="B83" s="18" t="s">
        <v>2152</v>
      </c>
      <c r="C83" s="19">
        <v>0</v>
      </c>
      <c r="D83" s="19">
        <v>0</v>
      </c>
      <c r="E83" s="19">
        <v>0</v>
      </c>
      <c r="F83" s="19">
        <v>0</v>
      </c>
      <c r="G83" s="17"/>
      <c r="J83"/>
      <c r="K83"/>
    </row>
    <row r="84" spans="1:11" s="7" customFormat="1" x14ac:dyDescent="0.25">
      <c r="A84" s="18" t="s">
        <v>2153</v>
      </c>
      <c r="B84" s="18" t="s">
        <v>2154</v>
      </c>
      <c r="C84" s="19">
        <v>0</v>
      </c>
      <c r="D84" s="19">
        <v>0</v>
      </c>
      <c r="E84" s="19">
        <v>0</v>
      </c>
      <c r="F84" s="19">
        <v>0</v>
      </c>
      <c r="G84" s="17"/>
      <c r="J84"/>
      <c r="K84"/>
    </row>
    <row r="85" spans="1:11" s="7" customFormat="1" x14ac:dyDescent="0.25">
      <c r="A85" s="18" t="s">
        <v>2155</v>
      </c>
      <c r="B85" s="18" t="s">
        <v>2156</v>
      </c>
      <c r="C85" s="19">
        <v>0</v>
      </c>
      <c r="D85" s="19">
        <v>0</v>
      </c>
      <c r="E85" s="19">
        <v>0</v>
      </c>
      <c r="F85" s="19">
        <v>0</v>
      </c>
      <c r="G85" s="17"/>
      <c r="J85"/>
      <c r="K85"/>
    </row>
    <row r="86" spans="1:11" s="7" customFormat="1" x14ac:dyDescent="0.25">
      <c r="A86" s="16" t="s">
        <v>2157</v>
      </c>
      <c r="B86" s="16" t="s">
        <v>2</v>
      </c>
      <c r="C86" s="20">
        <v>209252.73</v>
      </c>
      <c r="D86" s="20">
        <v>0</v>
      </c>
      <c r="E86" s="20">
        <f>SUM(E71:E85)</f>
        <v>20000</v>
      </c>
      <c r="F86" s="20">
        <f>SUM(F71:F85)</f>
        <v>0</v>
      </c>
      <c r="G86" s="17"/>
      <c r="J86"/>
      <c r="K86"/>
    </row>
    <row r="87" spans="1:11" s="7" customFormat="1" x14ac:dyDescent="0.25">
      <c r="A87" s="16" t="s">
        <v>2</v>
      </c>
      <c r="B87" s="16" t="s">
        <v>2</v>
      </c>
      <c r="C87" s="16" t="s">
        <v>2</v>
      </c>
      <c r="D87" s="16" t="s">
        <v>2</v>
      </c>
      <c r="E87" s="16" t="s">
        <v>2</v>
      </c>
      <c r="F87" s="16" t="s">
        <v>2</v>
      </c>
      <c r="G87" s="17"/>
      <c r="J87"/>
      <c r="K87"/>
    </row>
    <row r="88" spans="1:11" s="7" customFormat="1" x14ac:dyDescent="0.25">
      <c r="A88" s="18" t="s">
        <v>2158</v>
      </c>
      <c r="B88" s="18" t="s">
        <v>2159</v>
      </c>
      <c r="C88" s="19">
        <v>60306</v>
      </c>
      <c r="D88" s="19">
        <v>0</v>
      </c>
      <c r="E88" s="19">
        <v>0</v>
      </c>
      <c r="F88" s="19">
        <v>0</v>
      </c>
      <c r="G88" s="17"/>
      <c r="J88"/>
      <c r="K88"/>
    </row>
    <row r="89" spans="1:11" s="7" customFormat="1" x14ac:dyDescent="0.25">
      <c r="A89" s="16" t="s">
        <v>2160</v>
      </c>
      <c r="B89" s="16" t="s">
        <v>2</v>
      </c>
      <c r="C89" s="17"/>
      <c r="D89" s="17"/>
      <c r="E89" s="17"/>
      <c r="F89" s="17"/>
      <c r="G89" s="17"/>
      <c r="J89"/>
      <c r="K89"/>
    </row>
    <row r="90" spans="1:11" s="7" customFormat="1" x14ac:dyDescent="0.25">
      <c r="A90" s="18" t="s">
        <v>2161</v>
      </c>
      <c r="B90" s="18" t="s">
        <v>2162</v>
      </c>
      <c r="C90" s="19">
        <v>0</v>
      </c>
      <c r="D90" s="19">
        <v>0</v>
      </c>
      <c r="E90" s="19">
        <v>0</v>
      </c>
      <c r="F90" s="19">
        <v>0</v>
      </c>
      <c r="G90" s="17"/>
      <c r="J90"/>
      <c r="K90"/>
    </row>
    <row r="91" spans="1:11" s="7" customFormat="1" x14ac:dyDescent="0.25">
      <c r="A91" s="18" t="s">
        <v>2163</v>
      </c>
      <c r="B91" s="18" t="s">
        <v>2164</v>
      </c>
      <c r="C91" s="19">
        <v>31501.34</v>
      </c>
      <c r="D91" s="19">
        <v>9531.6299999999992</v>
      </c>
      <c r="E91" s="19">
        <v>22000</v>
      </c>
      <c r="F91" s="19">
        <v>0</v>
      </c>
      <c r="G91" s="17"/>
      <c r="J91"/>
      <c r="K91"/>
    </row>
    <row r="92" spans="1:11" s="7" customFormat="1" x14ac:dyDescent="0.25">
      <c r="A92" s="18" t="s">
        <v>2165</v>
      </c>
      <c r="B92" s="18" t="s">
        <v>2166</v>
      </c>
      <c r="C92" s="19">
        <v>2402.5</v>
      </c>
      <c r="D92" s="19">
        <v>1301.68</v>
      </c>
      <c r="E92" s="19">
        <v>1500</v>
      </c>
      <c r="F92" s="19">
        <v>0</v>
      </c>
      <c r="G92" s="17"/>
      <c r="J92"/>
      <c r="K92"/>
    </row>
    <row r="93" spans="1:11" s="7" customFormat="1" x14ac:dyDescent="0.25">
      <c r="A93" s="18" t="s">
        <v>2167</v>
      </c>
      <c r="B93" s="18" t="s">
        <v>2168</v>
      </c>
      <c r="C93" s="19">
        <v>102749.03</v>
      </c>
      <c r="D93" s="19">
        <v>55368.08</v>
      </c>
      <c r="E93" s="19">
        <v>98492</v>
      </c>
      <c r="F93" s="19">
        <v>0</v>
      </c>
      <c r="G93" s="17"/>
      <c r="J93"/>
      <c r="K93"/>
    </row>
    <row r="94" spans="1:11" s="7" customFormat="1" x14ac:dyDescent="0.25">
      <c r="A94" s="18" t="s">
        <v>2169</v>
      </c>
      <c r="B94" s="18" t="s">
        <v>2170</v>
      </c>
      <c r="C94" s="19">
        <v>115352.46</v>
      </c>
      <c r="D94" s="19">
        <v>30192.91</v>
      </c>
      <c r="E94" s="19">
        <v>118953</v>
      </c>
      <c r="F94" s="19">
        <v>0</v>
      </c>
      <c r="G94" s="17"/>
      <c r="J94"/>
      <c r="K94"/>
    </row>
    <row r="95" spans="1:11" s="7" customFormat="1" ht="24" x14ac:dyDescent="0.25">
      <c r="A95" s="16" t="s">
        <v>2171</v>
      </c>
      <c r="B95" s="16" t="s">
        <v>2</v>
      </c>
      <c r="C95" s="20">
        <v>252005.33</v>
      </c>
      <c r="D95" s="20">
        <v>96394.3</v>
      </c>
      <c r="E95" s="20">
        <f>SUM(E90:E94)</f>
        <v>240945</v>
      </c>
      <c r="F95" s="20">
        <f>SUM(F90:F94)</f>
        <v>0</v>
      </c>
      <c r="G95" s="17"/>
      <c r="J95"/>
      <c r="K95"/>
    </row>
    <row r="96" spans="1:11" s="7" customFormat="1" x14ac:dyDescent="0.25">
      <c r="A96" s="16" t="s">
        <v>2</v>
      </c>
      <c r="B96" s="16" t="s">
        <v>2</v>
      </c>
      <c r="C96" s="16" t="s">
        <v>2</v>
      </c>
      <c r="D96" s="16" t="s">
        <v>2</v>
      </c>
      <c r="E96" s="16" t="s">
        <v>2</v>
      </c>
      <c r="F96" s="16" t="s">
        <v>2</v>
      </c>
      <c r="G96" s="17"/>
      <c r="J96"/>
      <c r="K96"/>
    </row>
    <row r="97" spans="1:11" s="7" customFormat="1" x14ac:dyDescent="0.25">
      <c r="A97" s="18" t="s">
        <v>2172</v>
      </c>
      <c r="B97" s="18" t="s">
        <v>2173</v>
      </c>
      <c r="C97" s="19">
        <v>0</v>
      </c>
      <c r="D97" s="19">
        <v>15000</v>
      </c>
      <c r="E97" s="19">
        <v>0</v>
      </c>
      <c r="F97" s="19">
        <v>0</v>
      </c>
      <c r="G97" s="17"/>
      <c r="J97"/>
      <c r="K97"/>
    </row>
    <row r="98" spans="1:11" s="7" customFormat="1" x14ac:dyDescent="0.25">
      <c r="A98" s="16" t="s">
        <v>2174</v>
      </c>
      <c r="B98" s="16" t="s">
        <v>2</v>
      </c>
      <c r="C98" s="20">
        <v>580130.62</v>
      </c>
      <c r="D98" s="20">
        <v>151886.5</v>
      </c>
      <c r="E98" s="20">
        <f>E57+E59+E68+E86+E88+E95+E97</f>
        <v>298176.96000000002</v>
      </c>
      <c r="F98" s="20">
        <f>F57+F59+F68+F86+F88+F95+F97</f>
        <v>0</v>
      </c>
      <c r="G98" s="17"/>
      <c r="H98" s="21"/>
      <c r="J98"/>
      <c r="K98"/>
    </row>
    <row r="99" spans="1:11" s="7" customFormat="1" x14ac:dyDescent="0.25">
      <c r="A99" s="16" t="s">
        <v>2</v>
      </c>
      <c r="B99" s="16" t="s">
        <v>2</v>
      </c>
      <c r="C99" s="16" t="s">
        <v>2</v>
      </c>
      <c r="D99" s="16" t="s">
        <v>2</v>
      </c>
      <c r="E99" s="16" t="s">
        <v>2</v>
      </c>
      <c r="F99" s="16" t="s">
        <v>2</v>
      </c>
      <c r="G99" s="22"/>
      <c r="J99"/>
      <c r="K99"/>
    </row>
    <row r="100" spans="1:11" s="7" customFormat="1" x14ac:dyDescent="0.25">
      <c r="A100" s="16" t="s">
        <v>2175</v>
      </c>
      <c r="B100" s="16" t="s">
        <v>2</v>
      </c>
      <c r="C100" s="17"/>
      <c r="D100" s="17"/>
      <c r="E100" s="17"/>
      <c r="F100" s="17"/>
      <c r="G100" s="17"/>
      <c r="J100"/>
      <c r="K100"/>
    </row>
    <row r="101" spans="1:11" s="7" customFormat="1" x14ac:dyDescent="0.25">
      <c r="A101" s="16" t="s">
        <v>2176</v>
      </c>
      <c r="B101" s="16" t="s">
        <v>2</v>
      </c>
      <c r="C101" s="17"/>
      <c r="D101" s="17"/>
      <c r="E101" s="17"/>
      <c r="F101" s="17"/>
      <c r="G101" s="17"/>
      <c r="J101"/>
      <c r="K101"/>
    </row>
    <row r="102" spans="1:11" s="7" customFormat="1" x14ac:dyDescent="0.25">
      <c r="A102" s="18" t="s">
        <v>2177</v>
      </c>
      <c r="B102" s="18" t="s">
        <v>2178</v>
      </c>
      <c r="C102" s="19">
        <v>2559.56</v>
      </c>
      <c r="D102" s="19">
        <v>874.54</v>
      </c>
      <c r="E102" s="19">
        <v>2500</v>
      </c>
      <c r="F102" s="19">
        <v>0</v>
      </c>
      <c r="G102" s="17"/>
      <c r="J102"/>
      <c r="K102"/>
    </row>
    <row r="103" spans="1:11" s="7" customFormat="1" x14ac:dyDescent="0.25">
      <c r="A103" s="16" t="s">
        <v>2179</v>
      </c>
      <c r="B103" s="16" t="s">
        <v>2</v>
      </c>
      <c r="C103" s="20">
        <v>2559.56</v>
      </c>
      <c r="D103" s="20">
        <v>874.54</v>
      </c>
      <c r="E103" s="20">
        <f>SUM(E102)</f>
        <v>2500</v>
      </c>
      <c r="F103" s="20">
        <f>SUM(F102)</f>
        <v>0</v>
      </c>
      <c r="G103" s="17"/>
      <c r="J103"/>
      <c r="K103"/>
    </row>
    <row r="104" spans="1:11" s="7" customFormat="1" x14ac:dyDescent="0.25">
      <c r="A104" s="16" t="s">
        <v>2</v>
      </c>
      <c r="B104" s="16" t="s">
        <v>2</v>
      </c>
      <c r="C104" s="16" t="s">
        <v>2</v>
      </c>
      <c r="D104" s="16" t="s">
        <v>2</v>
      </c>
      <c r="E104" s="16" t="s">
        <v>2</v>
      </c>
      <c r="F104" s="16" t="s">
        <v>2</v>
      </c>
      <c r="G104" s="17"/>
      <c r="J104"/>
      <c r="K104"/>
    </row>
    <row r="105" spans="1:11" s="7" customFormat="1" x14ac:dyDescent="0.25">
      <c r="A105" s="16" t="s">
        <v>2180</v>
      </c>
      <c r="B105" s="16" t="s">
        <v>2</v>
      </c>
      <c r="C105" s="20">
        <v>2559.56</v>
      </c>
      <c r="D105" s="20">
        <v>874.54</v>
      </c>
      <c r="E105" s="20">
        <f>E103</f>
        <v>2500</v>
      </c>
      <c r="F105" s="20">
        <f>F103</f>
        <v>0</v>
      </c>
      <c r="G105" s="17"/>
      <c r="J105"/>
      <c r="K105"/>
    </row>
    <row r="106" spans="1:11" s="7" customFormat="1" x14ac:dyDescent="0.25">
      <c r="A106" s="18" t="s">
        <v>2</v>
      </c>
      <c r="B106" s="18" t="s">
        <v>2</v>
      </c>
      <c r="C106" s="18" t="s">
        <v>2</v>
      </c>
      <c r="D106" s="18" t="s">
        <v>2</v>
      </c>
      <c r="E106" s="18" t="s">
        <v>2</v>
      </c>
      <c r="F106" s="18" t="s">
        <v>2</v>
      </c>
      <c r="G106" s="17"/>
      <c r="J106"/>
      <c r="K106"/>
    </row>
    <row r="107" spans="1:11" s="7" customFormat="1" x14ac:dyDescent="0.25">
      <c r="A107" s="16" t="s">
        <v>2543</v>
      </c>
      <c r="B107" s="16" t="s">
        <v>2</v>
      </c>
      <c r="C107" s="17"/>
      <c r="D107" s="17"/>
      <c r="E107" s="17"/>
      <c r="F107" s="17"/>
      <c r="G107" s="17"/>
      <c r="J107"/>
      <c r="K107"/>
    </row>
    <row r="108" spans="1:11" s="7" customFormat="1" x14ac:dyDescent="0.25">
      <c r="A108" s="18" t="s">
        <v>2181</v>
      </c>
      <c r="B108" s="18" t="s">
        <v>2182</v>
      </c>
      <c r="C108" s="19">
        <v>0</v>
      </c>
      <c r="D108" s="19">
        <v>0</v>
      </c>
      <c r="E108" s="19">
        <v>0</v>
      </c>
      <c r="F108" s="19">
        <v>0</v>
      </c>
      <c r="G108" s="17"/>
      <c r="J108"/>
      <c r="K108"/>
    </row>
    <row r="109" spans="1:11" s="7" customFormat="1" x14ac:dyDescent="0.25">
      <c r="A109" s="18" t="s">
        <v>2183</v>
      </c>
      <c r="B109" s="18" t="s">
        <v>2184</v>
      </c>
      <c r="C109" s="19">
        <v>0</v>
      </c>
      <c r="D109" s="19">
        <v>0</v>
      </c>
      <c r="E109" s="19">
        <v>0</v>
      </c>
      <c r="F109" s="19">
        <v>0</v>
      </c>
      <c r="G109" s="17"/>
      <c r="J109"/>
      <c r="K109"/>
    </row>
    <row r="110" spans="1:11" s="7" customFormat="1" x14ac:dyDescent="0.25">
      <c r="A110" s="18" t="s">
        <v>2185</v>
      </c>
      <c r="B110" s="18" t="s">
        <v>2186</v>
      </c>
      <c r="C110" s="19">
        <v>0</v>
      </c>
      <c r="D110" s="19">
        <v>0</v>
      </c>
      <c r="E110" s="19">
        <v>0</v>
      </c>
      <c r="F110" s="19">
        <v>0</v>
      </c>
      <c r="G110" s="17"/>
      <c r="J110"/>
      <c r="K110"/>
    </row>
    <row r="111" spans="1:11" s="7" customFormat="1" x14ac:dyDescent="0.25">
      <c r="A111" s="18" t="s">
        <v>2187</v>
      </c>
      <c r="B111" s="18" t="s">
        <v>2188</v>
      </c>
      <c r="C111" s="19">
        <v>0</v>
      </c>
      <c r="D111" s="19">
        <v>0</v>
      </c>
      <c r="E111" s="19">
        <v>0</v>
      </c>
      <c r="F111" s="19">
        <v>0</v>
      </c>
      <c r="G111" s="17"/>
      <c r="J111"/>
      <c r="K111"/>
    </row>
    <row r="112" spans="1:11" s="7" customFormat="1" x14ac:dyDescent="0.25">
      <c r="A112" s="18" t="s">
        <v>2189</v>
      </c>
      <c r="B112" s="18" t="s">
        <v>2190</v>
      </c>
      <c r="C112" s="19">
        <v>2520.4299999999998</v>
      </c>
      <c r="D112" s="19">
        <v>569.66</v>
      </c>
      <c r="E112" s="19">
        <v>3500</v>
      </c>
      <c r="F112" s="19">
        <v>0</v>
      </c>
      <c r="G112" s="17"/>
      <c r="J112"/>
      <c r="K112"/>
    </row>
    <row r="113" spans="1:11" s="7" customFormat="1" x14ac:dyDescent="0.25">
      <c r="A113" s="18" t="s">
        <v>2191</v>
      </c>
      <c r="B113" s="18" t="s">
        <v>2192</v>
      </c>
      <c r="C113" s="19">
        <v>0</v>
      </c>
      <c r="D113" s="19">
        <v>0</v>
      </c>
      <c r="E113" s="19">
        <v>0</v>
      </c>
      <c r="F113" s="19">
        <v>0</v>
      </c>
      <c r="G113" s="17"/>
      <c r="J113"/>
      <c r="K113"/>
    </row>
    <row r="114" spans="1:11" s="7" customFormat="1" x14ac:dyDescent="0.25">
      <c r="A114" s="18" t="s">
        <v>2193</v>
      </c>
      <c r="B114" s="18" t="s">
        <v>2194</v>
      </c>
      <c r="C114" s="19">
        <v>1.27</v>
      </c>
      <c r="D114" s="19">
        <v>0</v>
      </c>
      <c r="E114" s="19">
        <v>0</v>
      </c>
      <c r="F114" s="19">
        <v>0</v>
      </c>
      <c r="G114" s="17"/>
      <c r="J114"/>
      <c r="K114"/>
    </row>
    <row r="115" spans="1:11" s="7" customFormat="1" x14ac:dyDescent="0.25">
      <c r="A115" s="18" t="s">
        <v>2195</v>
      </c>
      <c r="B115" s="18" t="s">
        <v>2196</v>
      </c>
      <c r="C115" s="19">
        <v>1187</v>
      </c>
      <c r="D115" s="19">
        <v>772.67</v>
      </c>
      <c r="E115" s="19">
        <v>1000</v>
      </c>
      <c r="F115" s="19">
        <v>0</v>
      </c>
      <c r="G115" s="17"/>
      <c r="J115"/>
      <c r="K115"/>
    </row>
    <row r="116" spans="1:11" s="7" customFormat="1" x14ac:dyDescent="0.25">
      <c r="A116" s="18" t="s">
        <v>2197</v>
      </c>
      <c r="B116" s="18" t="s">
        <v>2198</v>
      </c>
      <c r="C116" s="19">
        <v>0</v>
      </c>
      <c r="D116" s="19">
        <v>120</v>
      </c>
      <c r="E116" s="19">
        <v>1000</v>
      </c>
      <c r="F116" s="19">
        <v>0</v>
      </c>
      <c r="G116" s="17"/>
      <c r="J116"/>
      <c r="K116"/>
    </row>
    <row r="117" spans="1:11" s="7" customFormat="1" x14ac:dyDescent="0.25">
      <c r="A117" s="18" t="s">
        <v>2199</v>
      </c>
      <c r="B117" s="18" t="s">
        <v>2200</v>
      </c>
      <c r="C117" s="19">
        <v>523532.55</v>
      </c>
      <c r="D117" s="19">
        <v>432447.83</v>
      </c>
      <c r="E117" s="19">
        <v>432447.83</v>
      </c>
      <c r="F117" s="19">
        <v>0</v>
      </c>
      <c r="G117" s="17"/>
      <c r="J117"/>
      <c r="K117"/>
    </row>
    <row r="118" spans="1:11" s="7" customFormat="1" x14ac:dyDescent="0.25">
      <c r="A118" s="18" t="s">
        <v>2201</v>
      </c>
      <c r="B118" s="18" t="s">
        <v>2202</v>
      </c>
      <c r="C118" s="19">
        <v>0</v>
      </c>
      <c r="D118" s="19">
        <v>0</v>
      </c>
      <c r="E118" s="19">
        <v>0</v>
      </c>
      <c r="F118" s="19">
        <v>0</v>
      </c>
      <c r="G118" s="17"/>
      <c r="J118"/>
      <c r="K118"/>
    </row>
    <row r="119" spans="1:11" s="7" customFormat="1" ht="15" customHeight="1" x14ac:dyDescent="0.25">
      <c r="A119" s="18" t="s">
        <v>2203</v>
      </c>
      <c r="B119" s="18" t="s">
        <v>2204</v>
      </c>
      <c r="C119" s="19">
        <v>0</v>
      </c>
      <c r="D119" s="19">
        <v>0</v>
      </c>
      <c r="E119" s="19">
        <v>0</v>
      </c>
      <c r="F119" s="19">
        <v>0</v>
      </c>
      <c r="G119" s="17"/>
      <c r="J119"/>
      <c r="K119"/>
    </row>
    <row r="120" spans="1:11" s="7" customFormat="1" x14ac:dyDescent="0.25">
      <c r="A120" s="18" t="s">
        <v>2205</v>
      </c>
      <c r="B120" s="18" t="s">
        <v>2206</v>
      </c>
      <c r="C120" s="19">
        <v>0</v>
      </c>
      <c r="D120" s="19">
        <v>0</v>
      </c>
      <c r="E120" s="19">
        <v>0</v>
      </c>
      <c r="F120" s="19">
        <v>0</v>
      </c>
      <c r="G120" s="17"/>
      <c r="J120"/>
      <c r="K120"/>
    </row>
    <row r="121" spans="1:11" s="7" customFormat="1" x14ac:dyDescent="0.25">
      <c r="A121" s="18" t="s">
        <v>2207</v>
      </c>
      <c r="B121" s="18" t="s">
        <v>2208</v>
      </c>
      <c r="C121" s="19">
        <v>1.22</v>
      </c>
      <c r="D121" s="19">
        <v>0</v>
      </c>
      <c r="E121" s="19">
        <v>0</v>
      </c>
      <c r="F121" s="19">
        <v>0</v>
      </c>
      <c r="G121" s="17"/>
      <c r="J121"/>
      <c r="K121"/>
    </row>
    <row r="122" spans="1:11" s="7" customFormat="1" x14ac:dyDescent="0.25">
      <c r="A122" s="18" t="s">
        <v>2209</v>
      </c>
      <c r="B122" s="18" t="s">
        <v>2210</v>
      </c>
      <c r="C122" s="19">
        <v>422.7</v>
      </c>
      <c r="D122" s="19">
        <v>19.350000000000001</v>
      </c>
      <c r="E122" s="19">
        <v>0</v>
      </c>
      <c r="F122" s="19">
        <v>0</v>
      </c>
      <c r="G122" s="17"/>
      <c r="J122"/>
      <c r="K122"/>
    </row>
    <row r="123" spans="1:11" s="7" customFormat="1" x14ac:dyDescent="0.25">
      <c r="A123" s="18" t="s">
        <v>2211</v>
      </c>
      <c r="B123" s="18" t="s">
        <v>2212</v>
      </c>
      <c r="C123" s="19">
        <v>33</v>
      </c>
      <c r="D123" s="19">
        <v>0</v>
      </c>
      <c r="E123" s="19">
        <v>0</v>
      </c>
      <c r="F123" s="19">
        <v>0</v>
      </c>
      <c r="G123" s="17"/>
      <c r="J123"/>
      <c r="K123"/>
    </row>
    <row r="124" spans="1:11" s="7" customFormat="1" x14ac:dyDescent="0.25">
      <c r="A124" s="18" t="s">
        <v>2213</v>
      </c>
      <c r="B124" s="18" t="s">
        <v>2214</v>
      </c>
      <c r="C124" s="19">
        <v>485.28</v>
      </c>
      <c r="D124" s="19">
        <v>0</v>
      </c>
      <c r="E124" s="19">
        <v>0</v>
      </c>
      <c r="F124" s="19">
        <v>0</v>
      </c>
      <c r="G124" s="17"/>
      <c r="J124"/>
      <c r="K124"/>
    </row>
    <row r="125" spans="1:11" s="7" customFormat="1" x14ac:dyDescent="0.25">
      <c r="A125" s="18" t="s">
        <v>2215</v>
      </c>
      <c r="B125" s="18" t="s">
        <v>2216</v>
      </c>
      <c r="C125" s="19">
        <v>552</v>
      </c>
      <c r="D125" s="19">
        <v>232</v>
      </c>
      <c r="E125" s="19">
        <v>500</v>
      </c>
      <c r="F125" s="19">
        <v>0</v>
      </c>
      <c r="G125" s="17"/>
      <c r="J125"/>
      <c r="K125"/>
    </row>
    <row r="126" spans="1:11" s="7" customFormat="1" x14ac:dyDescent="0.25">
      <c r="A126" s="18" t="s">
        <v>2217</v>
      </c>
      <c r="B126" s="18" t="s">
        <v>2218</v>
      </c>
      <c r="C126" s="19">
        <v>0</v>
      </c>
      <c r="D126" s="19">
        <v>0</v>
      </c>
      <c r="E126" s="19">
        <v>0</v>
      </c>
      <c r="F126" s="19">
        <v>0</v>
      </c>
      <c r="G126" s="17"/>
      <c r="J126"/>
      <c r="K126"/>
    </row>
    <row r="127" spans="1:11" s="7" customFormat="1" x14ac:dyDescent="0.25">
      <c r="A127" s="18" t="s">
        <v>2219</v>
      </c>
      <c r="B127" s="18" t="s">
        <v>2220</v>
      </c>
      <c r="C127" s="19">
        <v>0</v>
      </c>
      <c r="D127" s="19">
        <v>0</v>
      </c>
      <c r="E127" s="19">
        <v>0</v>
      </c>
      <c r="F127" s="19">
        <v>0</v>
      </c>
      <c r="G127" s="17"/>
      <c r="J127"/>
      <c r="K127"/>
    </row>
    <row r="128" spans="1:11" s="7" customFormat="1" x14ac:dyDescent="0.25">
      <c r="A128" s="18" t="s">
        <v>2221</v>
      </c>
      <c r="B128" s="18" t="s">
        <v>2222</v>
      </c>
      <c r="C128" s="19">
        <v>19.739999999999998</v>
      </c>
      <c r="D128" s="19">
        <v>10.45</v>
      </c>
      <c r="E128" s="19">
        <v>0</v>
      </c>
      <c r="F128" s="19">
        <v>0</v>
      </c>
      <c r="G128" s="17"/>
      <c r="J128"/>
      <c r="K128"/>
    </row>
    <row r="129" spans="1:11" s="7" customFormat="1" x14ac:dyDescent="0.25">
      <c r="A129" s="18" t="s">
        <v>2223</v>
      </c>
      <c r="B129" s="18" t="s">
        <v>2224</v>
      </c>
      <c r="C129" s="19">
        <v>13773.8</v>
      </c>
      <c r="D129" s="19">
        <v>9637.7000000000007</v>
      </c>
      <c r="E129" s="19">
        <v>10000</v>
      </c>
      <c r="F129" s="19">
        <v>0</v>
      </c>
      <c r="G129" s="17"/>
      <c r="J129"/>
      <c r="K129"/>
    </row>
    <row r="130" spans="1:11" s="7" customFormat="1" x14ac:dyDescent="0.25">
      <c r="A130" s="18" t="s">
        <v>2225</v>
      </c>
      <c r="B130" s="18" t="s">
        <v>2226</v>
      </c>
      <c r="C130" s="19">
        <v>1950.12</v>
      </c>
      <c r="D130" s="19">
        <v>429.5</v>
      </c>
      <c r="E130" s="19">
        <v>1200</v>
      </c>
      <c r="F130" s="19">
        <v>0</v>
      </c>
      <c r="G130" s="17"/>
      <c r="J130"/>
      <c r="K130"/>
    </row>
    <row r="131" spans="1:11" s="7" customFormat="1" x14ac:dyDescent="0.25">
      <c r="A131" s="18" t="s">
        <v>2227</v>
      </c>
      <c r="B131" s="18" t="s">
        <v>2228</v>
      </c>
      <c r="C131" s="19">
        <v>15086.8</v>
      </c>
      <c r="D131" s="19">
        <v>7268.96</v>
      </c>
      <c r="E131" s="19">
        <v>15000</v>
      </c>
      <c r="F131" s="19">
        <v>0</v>
      </c>
      <c r="G131" s="17"/>
      <c r="J131"/>
      <c r="K131"/>
    </row>
    <row r="132" spans="1:11" s="7" customFormat="1" x14ac:dyDescent="0.25">
      <c r="A132" s="18" t="s">
        <v>2229</v>
      </c>
      <c r="B132" s="18" t="s">
        <v>2230</v>
      </c>
      <c r="C132" s="19">
        <v>1096.29</v>
      </c>
      <c r="D132" s="19">
        <v>119.67</v>
      </c>
      <c r="E132" s="19">
        <v>1000</v>
      </c>
      <c r="F132" s="19">
        <v>0</v>
      </c>
      <c r="G132" s="17"/>
      <c r="J132"/>
      <c r="K132"/>
    </row>
    <row r="133" spans="1:11" s="7" customFormat="1" x14ac:dyDescent="0.25">
      <c r="A133" s="18" t="s">
        <v>2231</v>
      </c>
      <c r="B133" s="18" t="s">
        <v>2232</v>
      </c>
      <c r="C133" s="19">
        <v>1682.64</v>
      </c>
      <c r="D133" s="19">
        <v>1383.78</v>
      </c>
      <c r="E133" s="19">
        <v>2500</v>
      </c>
      <c r="F133" s="19">
        <v>0</v>
      </c>
      <c r="G133" s="17"/>
      <c r="J133"/>
      <c r="K133"/>
    </row>
    <row r="134" spans="1:11" s="7" customFormat="1" x14ac:dyDescent="0.25">
      <c r="A134" s="18" t="s">
        <v>2233</v>
      </c>
      <c r="B134" s="18" t="s">
        <v>2234</v>
      </c>
      <c r="C134" s="19">
        <v>3503.28</v>
      </c>
      <c r="D134" s="19">
        <v>1019.97</v>
      </c>
      <c r="E134" s="19">
        <v>1500</v>
      </c>
      <c r="F134" s="19">
        <v>0</v>
      </c>
      <c r="G134" s="17"/>
      <c r="J134"/>
      <c r="K134"/>
    </row>
    <row r="135" spans="1:11" s="7" customFormat="1" x14ac:dyDescent="0.25">
      <c r="A135" s="18" t="s">
        <v>2235</v>
      </c>
      <c r="B135" s="18" t="s">
        <v>2236</v>
      </c>
      <c r="C135" s="19">
        <v>150</v>
      </c>
      <c r="D135" s="19">
        <v>0</v>
      </c>
      <c r="E135" s="19">
        <v>0</v>
      </c>
      <c r="F135" s="19">
        <v>0</v>
      </c>
      <c r="G135" s="17"/>
      <c r="J135"/>
      <c r="K135"/>
    </row>
    <row r="136" spans="1:11" s="7" customFormat="1" x14ac:dyDescent="0.25">
      <c r="A136" s="18" t="s">
        <v>2237</v>
      </c>
      <c r="B136" s="18" t="s">
        <v>2238</v>
      </c>
      <c r="C136" s="19">
        <v>5300</v>
      </c>
      <c r="D136" s="19">
        <v>3900</v>
      </c>
      <c r="E136" s="19">
        <v>4000</v>
      </c>
      <c r="F136" s="19">
        <v>0</v>
      </c>
      <c r="G136" s="17"/>
      <c r="J136"/>
      <c r="K136"/>
    </row>
    <row r="137" spans="1:11" s="7" customFormat="1" x14ac:dyDescent="0.25">
      <c r="A137" s="18" t="s">
        <v>2239</v>
      </c>
      <c r="B137" s="18" t="s">
        <v>2240</v>
      </c>
      <c r="C137" s="19">
        <v>0</v>
      </c>
      <c r="D137" s="19">
        <v>0</v>
      </c>
      <c r="E137" s="19">
        <v>0</v>
      </c>
      <c r="F137" s="19">
        <v>0</v>
      </c>
      <c r="G137" s="17"/>
      <c r="J137"/>
      <c r="K137"/>
    </row>
    <row r="138" spans="1:11" s="7" customFormat="1" x14ac:dyDescent="0.25">
      <c r="A138" s="18" t="s">
        <v>2241</v>
      </c>
      <c r="B138" s="18" t="s">
        <v>2242</v>
      </c>
      <c r="C138" s="19">
        <v>43267</v>
      </c>
      <c r="D138" s="19">
        <v>13874</v>
      </c>
      <c r="E138" s="19">
        <v>30000</v>
      </c>
      <c r="F138" s="19">
        <v>0</v>
      </c>
      <c r="G138" s="17"/>
      <c r="J138"/>
      <c r="K138"/>
    </row>
    <row r="139" spans="1:11" s="7" customFormat="1" x14ac:dyDescent="0.25">
      <c r="A139" s="18" t="s">
        <v>2243</v>
      </c>
      <c r="B139" s="18" t="s">
        <v>2244</v>
      </c>
      <c r="C139" s="19">
        <v>1589.86</v>
      </c>
      <c r="D139" s="19">
        <v>1012</v>
      </c>
      <c r="E139" s="19">
        <v>10000</v>
      </c>
      <c r="F139" s="19">
        <v>0</v>
      </c>
      <c r="G139" s="17"/>
      <c r="J139"/>
      <c r="K139"/>
    </row>
    <row r="140" spans="1:11" s="7" customFormat="1" x14ac:dyDescent="0.25">
      <c r="A140" s="18" t="s">
        <v>2245</v>
      </c>
      <c r="B140" s="18" t="s">
        <v>2246</v>
      </c>
      <c r="C140" s="19">
        <v>6026</v>
      </c>
      <c r="D140" s="19">
        <v>8041</v>
      </c>
      <c r="E140" s="19">
        <v>2000</v>
      </c>
      <c r="F140" s="19">
        <v>0</v>
      </c>
      <c r="G140" s="17"/>
      <c r="J140"/>
      <c r="K140"/>
    </row>
    <row r="141" spans="1:11" s="7" customFormat="1" x14ac:dyDescent="0.25">
      <c r="A141" s="18" t="s">
        <v>2247</v>
      </c>
      <c r="B141" s="18" t="s">
        <v>2248</v>
      </c>
      <c r="C141" s="19">
        <v>5751.25</v>
      </c>
      <c r="D141" s="19">
        <v>0</v>
      </c>
      <c r="E141" s="19">
        <v>0</v>
      </c>
      <c r="F141" s="19">
        <v>0</v>
      </c>
      <c r="G141" s="17"/>
      <c r="J141"/>
      <c r="K141"/>
    </row>
    <row r="142" spans="1:11" s="7" customFormat="1" x14ac:dyDescent="0.25">
      <c r="A142" s="18" t="s">
        <v>2249</v>
      </c>
      <c r="B142" s="18" t="s">
        <v>2250</v>
      </c>
      <c r="C142" s="19">
        <v>2220</v>
      </c>
      <c r="D142" s="19">
        <v>0</v>
      </c>
      <c r="E142" s="19">
        <v>0</v>
      </c>
      <c r="F142" s="19">
        <v>0</v>
      </c>
      <c r="G142" s="17"/>
      <c r="J142"/>
      <c r="K142"/>
    </row>
    <row r="143" spans="1:11" s="7" customFormat="1" x14ac:dyDescent="0.25">
      <c r="A143" s="18" t="s">
        <v>2251</v>
      </c>
      <c r="B143" s="18" t="s">
        <v>2252</v>
      </c>
      <c r="C143" s="19">
        <v>1975</v>
      </c>
      <c r="D143" s="19">
        <v>0</v>
      </c>
      <c r="E143" s="19">
        <v>1000</v>
      </c>
      <c r="F143" s="19">
        <v>0</v>
      </c>
      <c r="G143" s="17"/>
      <c r="J143"/>
      <c r="K143"/>
    </row>
    <row r="144" spans="1:11" s="7" customFormat="1" x14ac:dyDescent="0.25">
      <c r="A144" s="18" t="s">
        <v>2253</v>
      </c>
      <c r="B144" s="18" t="s">
        <v>2254</v>
      </c>
      <c r="C144" s="19">
        <v>6420</v>
      </c>
      <c r="D144" s="19">
        <v>2313</v>
      </c>
      <c r="E144" s="19">
        <v>3000</v>
      </c>
      <c r="F144" s="19">
        <v>0</v>
      </c>
      <c r="G144" s="17"/>
      <c r="J144"/>
      <c r="K144"/>
    </row>
    <row r="145" spans="1:11" s="7" customFormat="1" x14ac:dyDescent="0.25">
      <c r="A145" s="18" t="s">
        <v>2255</v>
      </c>
      <c r="B145" s="18" t="s">
        <v>2256</v>
      </c>
      <c r="C145" s="19">
        <v>9031</v>
      </c>
      <c r="D145" s="19">
        <v>9592</v>
      </c>
      <c r="E145" s="19">
        <v>10000</v>
      </c>
      <c r="F145" s="19">
        <v>0</v>
      </c>
      <c r="G145" s="17"/>
      <c r="J145"/>
      <c r="K145"/>
    </row>
    <row r="146" spans="1:11" s="7" customFormat="1" x14ac:dyDescent="0.25">
      <c r="A146" s="18" t="s">
        <v>2257</v>
      </c>
      <c r="B146" s="18" t="s">
        <v>2258</v>
      </c>
      <c r="C146" s="19">
        <v>0</v>
      </c>
      <c r="D146" s="19">
        <v>0</v>
      </c>
      <c r="E146" s="19">
        <v>0</v>
      </c>
      <c r="F146" s="19">
        <v>0</v>
      </c>
      <c r="G146" s="17"/>
      <c r="J146"/>
      <c r="K146"/>
    </row>
    <row r="147" spans="1:11" s="7" customFormat="1" x14ac:dyDescent="0.25">
      <c r="A147" s="18" t="s">
        <v>2259</v>
      </c>
      <c r="B147" s="18" t="s">
        <v>2260</v>
      </c>
      <c r="C147" s="19">
        <v>244185.18</v>
      </c>
      <c r="D147" s="19">
        <v>0</v>
      </c>
      <c r="E147" s="19">
        <v>150000</v>
      </c>
      <c r="F147" s="19">
        <v>0</v>
      </c>
      <c r="G147" s="17"/>
      <c r="J147"/>
      <c r="K147"/>
    </row>
    <row r="148" spans="1:11" s="7" customFormat="1" x14ac:dyDescent="0.25">
      <c r="A148" s="18" t="s">
        <v>2261</v>
      </c>
      <c r="B148" s="18" t="s">
        <v>2262</v>
      </c>
      <c r="C148" s="19">
        <v>650</v>
      </c>
      <c r="D148" s="19">
        <v>11</v>
      </c>
      <c r="E148" s="19">
        <v>0</v>
      </c>
      <c r="F148" s="19">
        <v>0</v>
      </c>
      <c r="G148" s="17"/>
      <c r="J148"/>
      <c r="K148"/>
    </row>
    <row r="149" spans="1:11" s="7" customFormat="1" x14ac:dyDescent="0.25">
      <c r="A149" s="18" t="s">
        <v>2263</v>
      </c>
      <c r="B149" s="18" t="s">
        <v>2264</v>
      </c>
      <c r="C149" s="19">
        <v>0</v>
      </c>
      <c r="D149" s="19">
        <v>2703</v>
      </c>
      <c r="E149" s="19">
        <v>0</v>
      </c>
      <c r="F149" s="19">
        <v>0</v>
      </c>
      <c r="G149" s="17"/>
      <c r="J149"/>
      <c r="K149"/>
    </row>
    <row r="150" spans="1:11" s="7" customFormat="1" x14ac:dyDescent="0.25">
      <c r="A150" s="18" t="s">
        <v>2265</v>
      </c>
      <c r="B150" s="18" t="s">
        <v>2266</v>
      </c>
      <c r="C150" s="19">
        <v>0</v>
      </c>
      <c r="D150" s="19">
        <v>0</v>
      </c>
      <c r="E150" s="19">
        <v>0</v>
      </c>
      <c r="F150" s="19">
        <v>0</v>
      </c>
      <c r="G150" s="17"/>
      <c r="J150"/>
      <c r="K150"/>
    </row>
    <row r="151" spans="1:11" s="7" customFormat="1" x14ac:dyDescent="0.25">
      <c r="A151" s="18" t="s">
        <v>2267</v>
      </c>
      <c r="B151" s="18" t="s">
        <v>2268</v>
      </c>
      <c r="C151" s="19">
        <v>2032.5</v>
      </c>
      <c r="D151" s="19">
        <v>0</v>
      </c>
      <c r="E151" s="19">
        <v>0</v>
      </c>
      <c r="F151" s="19">
        <v>0</v>
      </c>
      <c r="G151" s="17"/>
      <c r="J151"/>
      <c r="K151"/>
    </row>
    <row r="152" spans="1:11" s="7" customFormat="1" x14ac:dyDescent="0.25">
      <c r="A152" s="18" t="s">
        <v>2269</v>
      </c>
      <c r="B152" s="18" t="s">
        <v>2270</v>
      </c>
      <c r="C152" s="19">
        <v>0</v>
      </c>
      <c r="D152" s="19">
        <v>0</v>
      </c>
      <c r="E152" s="19">
        <v>0</v>
      </c>
      <c r="F152" s="19">
        <v>0</v>
      </c>
      <c r="G152" s="17"/>
      <c r="J152"/>
      <c r="K152"/>
    </row>
    <row r="153" spans="1:11" s="7" customFormat="1" x14ac:dyDescent="0.25">
      <c r="A153" s="18" t="s">
        <v>2271</v>
      </c>
      <c r="B153" s="18" t="s">
        <v>2272</v>
      </c>
      <c r="C153" s="19">
        <v>0</v>
      </c>
      <c r="D153" s="19">
        <v>0</v>
      </c>
      <c r="E153" s="19">
        <v>0</v>
      </c>
      <c r="F153" s="19">
        <v>0</v>
      </c>
      <c r="G153" s="17"/>
      <c r="J153"/>
      <c r="K153"/>
    </row>
    <row r="154" spans="1:11" s="7" customFormat="1" x14ac:dyDescent="0.25">
      <c r="A154" s="18" t="s">
        <v>2273</v>
      </c>
      <c r="B154" s="18" t="s">
        <v>2274</v>
      </c>
      <c r="C154" s="19">
        <v>0</v>
      </c>
      <c r="D154" s="19">
        <v>5246</v>
      </c>
      <c r="E154" s="19">
        <v>0</v>
      </c>
      <c r="F154" s="19">
        <v>0</v>
      </c>
      <c r="G154" s="17"/>
      <c r="J154"/>
      <c r="K154"/>
    </row>
    <row r="155" spans="1:11" s="7" customFormat="1" x14ac:dyDescent="0.25">
      <c r="A155" s="18" t="s">
        <v>2275</v>
      </c>
      <c r="B155" s="18" t="s">
        <v>2276</v>
      </c>
      <c r="C155" s="19">
        <v>17334.5</v>
      </c>
      <c r="D155" s="19">
        <v>0</v>
      </c>
      <c r="E155" s="19">
        <v>0</v>
      </c>
      <c r="F155" s="19">
        <v>0</v>
      </c>
      <c r="G155" s="17"/>
      <c r="J155"/>
      <c r="K155"/>
    </row>
    <row r="156" spans="1:11" s="7" customFormat="1" x14ac:dyDescent="0.25">
      <c r="A156" s="18" t="s">
        <v>2277</v>
      </c>
      <c r="B156" s="18" t="s">
        <v>2278</v>
      </c>
      <c r="C156" s="19">
        <v>0</v>
      </c>
      <c r="D156" s="19">
        <v>0</v>
      </c>
      <c r="E156" s="19">
        <v>0</v>
      </c>
      <c r="F156" s="19">
        <v>0</v>
      </c>
      <c r="G156" s="17"/>
      <c r="J156"/>
      <c r="K156"/>
    </row>
    <row r="157" spans="1:11" s="7" customFormat="1" x14ac:dyDescent="0.25">
      <c r="A157" s="18" t="s">
        <v>2279</v>
      </c>
      <c r="B157" s="18" t="s">
        <v>2280</v>
      </c>
      <c r="C157" s="19">
        <v>0</v>
      </c>
      <c r="D157" s="19">
        <v>0</v>
      </c>
      <c r="E157" s="19">
        <v>0</v>
      </c>
      <c r="F157" s="19">
        <v>0</v>
      </c>
      <c r="G157" s="17"/>
      <c r="J157"/>
      <c r="K157"/>
    </row>
    <row r="158" spans="1:11" s="7" customFormat="1" x14ac:dyDescent="0.25">
      <c r="A158" s="18" t="s">
        <v>2281</v>
      </c>
      <c r="B158" s="18" t="s">
        <v>2282</v>
      </c>
      <c r="C158" s="19">
        <v>0</v>
      </c>
      <c r="D158" s="19">
        <v>0</v>
      </c>
      <c r="E158" s="19">
        <v>0</v>
      </c>
      <c r="F158" s="19">
        <v>0</v>
      </c>
      <c r="G158" s="17"/>
      <c r="J158"/>
      <c r="K158"/>
    </row>
    <row r="159" spans="1:11" s="7" customFormat="1" x14ac:dyDescent="0.25">
      <c r="A159" s="18" t="s">
        <v>2283</v>
      </c>
      <c r="B159" s="18" t="s">
        <v>2284</v>
      </c>
      <c r="C159" s="19">
        <v>692045.27</v>
      </c>
      <c r="D159" s="19">
        <v>146327.25</v>
      </c>
      <c r="E159" s="19">
        <v>220000</v>
      </c>
      <c r="F159" s="19">
        <v>0</v>
      </c>
      <c r="G159" s="17"/>
      <c r="J159"/>
      <c r="K159"/>
    </row>
    <row r="160" spans="1:11" s="7" customFormat="1" x14ac:dyDescent="0.25">
      <c r="A160" s="18" t="s">
        <v>2285</v>
      </c>
      <c r="B160" s="18" t="s">
        <v>2286</v>
      </c>
      <c r="C160" s="19">
        <v>0</v>
      </c>
      <c r="D160" s="19">
        <v>0</v>
      </c>
      <c r="E160" s="19">
        <v>0</v>
      </c>
      <c r="F160" s="19">
        <v>0</v>
      </c>
      <c r="G160" s="17"/>
      <c r="J160"/>
      <c r="K160"/>
    </row>
    <row r="161" spans="1:11" s="7" customFormat="1" x14ac:dyDescent="0.25">
      <c r="A161" s="18" t="s">
        <v>2287</v>
      </c>
      <c r="B161" s="18" t="s">
        <v>2288</v>
      </c>
      <c r="C161" s="19">
        <v>0</v>
      </c>
      <c r="D161" s="19">
        <v>0</v>
      </c>
      <c r="E161" s="19">
        <v>0</v>
      </c>
      <c r="F161" s="19">
        <v>0</v>
      </c>
      <c r="G161" s="17"/>
      <c r="J161"/>
      <c r="K161"/>
    </row>
    <row r="162" spans="1:11" s="7" customFormat="1" x14ac:dyDescent="0.25">
      <c r="A162" s="18" t="s">
        <v>2289</v>
      </c>
      <c r="B162" s="18" t="s">
        <v>2290</v>
      </c>
      <c r="C162" s="19">
        <v>6132</v>
      </c>
      <c r="D162" s="19">
        <v>7400</v>
      </c>
      <c r="E162" s="19">
        <v>3000</v>
      </c>
      <c r="F162" s="19">
        <v>0</v>
      </c>
      <c r="G162" s="17"/>
      <c r="J162"/>
      <c r="K162"/>
    </row>
    <row r="163" spans="1:11" s="7" customFormat="1" x14ac:dyDescent="0.25">
      <c r="A163" s="18" t="s">
        <v>2291</v>
      </c>
      <c r="B163" s="18" t="s">
        <v>2292</v>
      </c>
      <c r="C163" s="19">
        <v>0</v>
      </c>
      <c r="D163" s="19">
        <v>0</v>
      </c>
      <c r="E163" s="19">
        <v>0</v>
      </c>
      <c r="F163" s="19">
        <v>0</v>
      </c>
      <c r="G163" s="17"/>
      <c r="J163"/>
      <c r="K163"/>
    </row>
    <row r="164" spans="1:11" s="7" customFormat="1" x14ac:dyDescent="0.25">
      <c r="A164" s="18" t="s">
        <v>2293</v>
      </c>
      <c r="B164" s="18" t="s">
        <v>2294</v>
      </c>
      <c r="C164" s="19">
        <v>9709.75</v>
      </c>
      <c r="D164" s="19">
        <v>9118.75</v>
      </c>
      <c r="E164" s="19">
        <v>3000</v>
      </c>
      <c r="F164" s="19">
        <v>0</v>
      </c>
      <c r="G164" s="17"/>
      <c r="J164"/>
      <c r="K164"/>
    </row>
    <row r="165" spans="1:11" s="7" customFormat="1" x14ac:dyDescent="0.25">
      <c r="A165" s="18" t="s">
        <v>2295</v>
      </c>
      <c r="B165" s="18" t="s">
        <v>2296</v>
      </c>
      <c r="C165" s="19">
        <v>600</v>
      </c>
      <c r="D165" s="19">
        <v>600</v>
      </c>
      <c r="E165" s="19">
        <v>600</v>
      </c>
      <c r="F165" s="19">
        <v>0</v>
      </c>
      <c r="G165" s="17"/>
      <c r="J165"/>
      <c r="K165"/>
    </row>
    <row r="166" spans="1:11" s="7" customFormat="1" x14ac:dyDescent="0.25">
      <c r="A166" s="18" t="s">
        <v>2297</v>
      </c>
      <c r="B166" s="18" t="s">
        <v>2298</v>
      </c>
      <c r="C166" s="19">
        <v>350</v>
      </c>
      <c r="D166" s="19">
        <v>133.5</v>
      </c>
      <c r="E166" s="19">
        <v>0</v>
      </c>
      <c r="F166" s="19">
        <v>0</v>
      </c>
      <c r="G166" s="17"/>
      <c r="J166"/>
      <c r="K166"/>
    </row>
    <row r="167" spans="1:11" s="7" customFormat="1" x14ac:dyDescent="0.25">
      <c r="A167" s="18" t="s">
        <v>2299</v>
      </c>
      <c r="B167" s="18" t="s">
        <v>2300</v>
      </c>
      <c r="C167" s="19">
        <v>6208</v>
      </c>
      <c r="D167" s="19">
        <v>3102</v>
      </c>
      <c r="E167" s="19">
        <v>3000</v>
      </c>
      <c r="F167" s="19">
        <v>0</v>
      </c>
      <c r="G167" s="17"/>
      <c r="J167"/>
      <c r="K167"/>
    </row>
    <row r="168" spans="1:11" s="7" customFormat="1" x14ac:dyDescent="0.25">
      <c r="A168" s="18" t="s">
        <v>2301</v>
      </c>
      <c r="B168" s="18" t="s">
        <v>2302</v>
      </c>
      <c r="C168" s="19">
        <v>380</v>
      </c>
      <c r="D168" s="19">
        <v>14995</v>
      </c>
      <c r="E168" s="19">
        <v>0</v>
      </c>
      <c r="F168" s="19">
        <v>0</v>
      </c>
      <c r="G168" s="17"/>
      <c r="J168"/>
      <c r="K168"/>
    </row>
    <row r="169" spans="1:11" s="7" customFormat="1" x14ac:dyDescent="0.25">
      <c r="A169" s="18" t="s">
        <v>2303</v>
      </c>
      <c r="B169" s="18" t="s">
        <v>2304</v>
      </c>
      <c r="C169" s="19">
        <v>794</v>
      </c>
      <c r="D169" s="19">
        <v>35</v>
      </c>
      <c r="E169" s="19">
        <v>0</v>
      </c>
      <c r="F169" s="19">
        <v>0</v>
      </c>
      <c r="G169" s="17"/>
      <c r="J169"/>
      <c r="K169"/>
    </row>
    <row r="170" spans="1:11" s="7" customFormat="1" x14ac:dyDescent="0.25">
      <c r="A170" s="18" t="s">
        <v>2305</v>
      </c>
      <c r="B170" s="18" t="s">
        <v>2306</v>
      </c>
      <c r="C170" s="19">
        <v>0</v>
      </c>
      <c r="D170" s="19">
        <v>0</v>
      </c>
      <c r="E170" s="19">
        <v>0</v>
      </c>
      <c r="F170" s="19">
        <v>0</v>
      </c>
      <c r="G170" s="17"/>
      <c r="J170"/>
      <c r="K170"/>
    </row>
    <row r="171" spans="1:11" s="7" customFormat="1" x14ac:dyDescent="0.25">
      <c r="A171" s="18" t="s">
        <v>2307</v>
      </c>
      <c r="B171" s="18" t="s">
        <v>2308</v>
      </c>
      <c r="C171" s="19">
        <v>0</v>
      </c>
      <c r="D171" s="19">
        <v>0</v>
      </c>
      <c r="E171" s="19">
        <v>0</v>
      </c>
      <c r="F171" s="19">
        <v>0</v>
      </c>
      <c r="G171" s="17"/>
      <c r="J171"/>
      <c r="K171"/>
    </row>
    <row r="172" spans="1:11" s="7" customFormat="1" x14ac:dyDescent="0.25">
      <c r="A172" s="18" t="s">
        <v>2309</v>
      </c>
      <c r="B172" s="18" t="s">
        <v>2310</v>
      </c>
      <c r="C172" s="19">
        <v>18835</v>
      </c>
      <c r="D172" s="19">
        <v>840</v>
      </c>
      <c r="E172" s="19">
        <v>10000</v>
      </c>
      <c r="F172" s="19">
        <v>0</v>
      </c>
      <c r="G172" s="17"/>
      <c r="J172"/>
      <c r="K172"/>
    </row>
    <row r="173" spans="1:11" s="7" customFormat="1" x14ac:dyDescent="0.25">
      <c r="A173" s="18" t="s">
        <v>2311</v>
      </c>
      <c r="B173" s="18" t="s">
        <v>2312</v>
      </c>
      <c r="C173" s="19">
        <v>490</v>
      </c>
      <c r="D173" s="19">
        <v>1620</v>
      </c>
      <c r="E173" s="19">
        <v>0</v>
      </c>
      <c r="F173" s="19">
        <v>0</v>
      </c>
      <c r="G173" s="17"/>
      <c r="J173"/>
      <c r="K173"/>
    </row>
    <row r="174" spans="1:11" s="7" customFormat="1" x14ac:dyDescent="0.25">
      <c r="A174" s="18" t="s">
        <v>2313</v>
      </c>
      <c r="B174" s="18" t="s">
        <v>2314</v>
      </c>
      <c r="C174" s="19">
        <v>0</v>
      </c>
      <c r="D174" s="19">
        <v>0</v>
      </c>
      <c r="E174" s="19">
        <v>0</v>
      </c>
      <c r="F174" s="19">
        <v>0</v>
      </c>
      <c r="G174" s="17"/>
      <c r="J174"/>
      <c r="K174"/>
    </row>
    <row r="175" spans="1:11" s="7" customFormat="1" x14ac:dyDescent="0.25">
      <c r="A175" s="18" t="s">
        <v>2315</v>
      </c>
      <c r="B175" s="18" t="s">
        <v>2316</v>
      </c>
      <c r="C175" s="19">
        <v>4750</v>
      </c>
      <c r="D175" s="19">
        <v>0</v>
      </c>
      <c r="E175" s="19">
        <v>2000</v>
      </c>
      <c r="F175" s="19">
        <v>0</v>
      </c>
      <c r="G175" s="17"/>
      <c r="J175"/>
      <c r="K175"/>
    </row>
    <row r="176" spans="1:11" s="7" customFormat="1" x14ac:dyDescent="0.25">
      <c r="A176" s="16" t="s">
        <v>2544</v>
      </c>
      <c r="B176" s="16" t="s">
        <v>2</v>
      </c>
      <c r="C176" s="20">
        <v>1652074.43</v>
      </c>
      <c r="D176" s="20">
        <v>684895.04</v>
      </c>
      <c r="E176" s="20">
        <f>SUM(E108:E175)</f>
        <v>921247.83000000007</v>
      </c>
      <c r="F176" s="20">
        <f>SUM(F108:F175)</f>
        <v>0</v>
      </c>
      <c r="G176" s="17"/>
      <c r="J176"/>
      <c r="K176"/>
    </row>
    <row r="177" spans="1:11" s="7" customFormat="1" x14ac:dyDescent="0.25">
      <c r="A177" s="16" t="s">
        <v>2</v>
      </c>
      <c r="B177" s="16" t="s">
        <v>2</v>
      </c>
      <c r="C177" s="16" t="s">
        <v>2</v>
      </c>
      <c r="D177" s="16" t="s">
        <v>2</v>
      </c>
      <c r="E177" s="16" t="s">
        <v>2</v>
      </c>
      <c r="F177" s="16" t="s">
        <v>2</v>
      </c>
      <c r="G177" s="17"/>
      <c r="J177"/>
      <c r="K177"/>
    </row>
    <row r="178" spans="1:11" s="7" customFormat="1" x14ac:dyDescent="0.25">
      <c r="A178" s="16" t="s">
        <v>2317</v>
      </c>
      <c r="B178" s="16" t="s">
        <v>2</v>
      </c>
      <c r="C178" s="17"/>
      <c r="D178" s="17"/>
      <c r="E178" s="17"/>
      <c r="F178" s="17"/>
      <c r="G178" s="17"/>
      <c r="J178"/>
      <c r="K178"/>
    </row>
    <row r="179" spans="1:11" s="7" customFormat="1" x14ac:dyDescent="0.25">
      <c r="A179" s="18" t="s">
        <v>2318</v>
      </c>
      <c r="B179" s="18" t="s">
        <v>2319</v>
      </c>
      <c r="C179" s="19">
        <v>290.64</v>
      </c>
      <c r="D179" s="19">
        <v>98.24</v>
      </c>
      <c r="E179" s="19">
        <v>200</v>
      </c>
      <c r="F179" s="19">
        <v>0</v>
      </c>
      <c r="G179" s="17"/>
      <c r="J179"/>
      <c r="K179"/>
    </row>
    <row r="180" spans="1:11" s="7" customFormat="1" x14ac:dyDescent="0.25">
      <c r="A180" s="18" t="s">
        <v>2320</v>
      </c>
      <c r="B180" s="18" t="s">
        <v>2321</v>
      </c>
      <c r="C180" s="19">
        <v>0</v>
      </c>
      <c r="D180" s="19">
        <v>0</v>
      </c>
      <c r="E180" s="19">
        <v>0</v>
      </c>
      <c r="F180" s="19">
        <v>0</v>
      </c>
      <c r="G180" s="17"/>
      <c r="J180"/>
      <c r="K180"/>
    </row>
    <row r="181" spans="1:11" s="7" customFormat="1" x14ac:dyDescent="0.25">
      <c r="A181" s="18" t="s">
        <v>2322</v>
      </c>
      <c r="B181" s="18" t="s">
        <v>2323</v>
      </c>
      <c r="C181" s="19">
        <v>50.65</v>
      </c>
      <c r="D181" s="19">
        <v>0</v>
      </c>
      <c r="E181" s="19">
        <v>0</v>
      </c>
      <c r="F181" s="19">
        <v>0</v>
      </c>
      <c r="G181" s="17"/>
      <c r="J181"/>
      <c r="K181"/>
    </row>
    <row r="182" spans="1:11" s="7" customFormat="1" x14ac:dyDescent="0.25">
      <c r="A182" s="18" t="s">
        <v>2324</v>
      </c>
      <c r="B182" s="18" t="s">
        <v>2325</v>
      </c>
      <c r="C182" s="19">
        <v>8420.3799999999992</v>
      </c>
      <c r="D182" s="19">
        <v>1352.2</v>
      </c>
      <c r="E182" s="19">
        <v>4000</v>
      </c>
      <c r="F182" s="19">
        <v>0</v>
      </c>
      <c r="G182" s="17"/>
      <c r="J182"/>
      <c r="K182"/>
    </row>
    <row r="183" spans="1:11" s="7" customFormat="1" x14ac:dyDescent="0.25">
      <c r="A183" s="18" t="s">
        <v>2326</v>
      </c>
      <c r="B183" s="18" t="s">
        <v>2327</v>
      </c>
      <c r="C183" s="19">
        <v>2753.02</v>
      </c>
      <c r="D183" s="19">
        <v>690.22</v>
      </c>
      <c r="E183" s="19">
        <v>3000</v>
      </c>
      <c r="F183" s="19">
        <v>0</v>
      </c>
      <c r="G183" s="17"/>
      <c r="J183"/>
      <c r="K183"/>
    </row>
    <row r="184" spans="1:11" s="7" customFormat="1" x14ac:dyDescent="0.25">
      <c r="A184" s="18" t="s">
        <v>2328</v>
      </c>
      <c r="B184" s="18" t="s">
        <v>2329</v>
      </c>
      <c r="C184" s="19">
        <v>46793.77</v>
      </c>
      <c r="D184" s="19">
        <v>10670.51</v>
      </c>
      <c r="E184" s="19">
        <v>30000</v>
      </c>
      <c r="F184" s="19">
        <v>0</v>
      </c>
      <c r="G184" s="17"/>
      <c r="J184"/>
      <c r="K184"/>
    </row>
    <row r="185" spans="1:11" s="7" customFormat="1" x14ac:dyDescent="0.25">
      <c r="A185" s="18" t="s">
        <v>2330</v>
      </c>
      <c r="B185" s="18" t="s">
        <v>2331</v>
      </c>
      <c r="C185" s="19">
        <v>8.01</v>
      </c>
      <c r="D185" s="19">
        <v>0</v>
      </c>
      <c r="E185" s="19">
        <v>0</v>
      </c>
      <c r="F185" s="19">
        <v>0</v>
      </c>
      <c r="G185" s="17"/>
      <c r="J185"/>
      <c r="K185"/>
    </row>
    <row r="186" spans="1:11" s="7" customFormat="1" x14ac:dyDescent="0.25">
      <c r="A186" s="18" t="s">
        <v>2332</v>
      </c>
      <c r="B186" s="18" t="s">
        <v>2333</v>
      </c>
      <c r="C186" s="19">
        <v>0</v>
      </c>
      <c r="D186" s="19">
        <v>0</v>
      </c>
      <c r="E186" s="19">
        <v>0</v>
      </c>
      <c r="F186" s="19">
        <v>0</v>
      </c>
      <c r="G186" s="17"/>
      <c r="J186"/>
      <c r="K186"/>
    </row>
    <row r="187" spans="1:11" s="7" customFormat="1" x14ac:dyDescent="0.25">
      <c r="A187" s="18" t="s">
        <v>2334</v>
      </c>
      <c r="B187" s="18" t="s">
        <v>2335</v>
      </c>
      <c r="C187" s="19">
        <v>0</v>
      </c>
      <c r="D187" s="19">
        <v>0</v>
      </c>
      <c r="E187" s="19">
        <v>0</v>
      </c>
      <c r="F187" s="19">
        <v>0</v>
      </c>
      <c r="G187" s="17"/>
      <c r="J187"/>
      <c r="K187"/>
    </row>
    <row r="188" spans="1:11" s="7" customFormat="1" x14ac:dyDescent="0.25">
      <c r="A188" s="18" t="s">
        <v>2336</v>
      </c>
      <c r="B188" s="18" t="s">
        <v>2337</v>
      </c>
      <c r="C188" s="19">
        <v>4306.88</v>
      </c>
      <c r="D188" s="19">
        <v>2003</v>
      </c>
      <c r="E188" s="19">
        <v>3000</v>
      </c>
      <c r="F188" s="19">
        <v>0</v>
      </c>
      <c r="G188" s="17"/>
      <c r="J188"/>
      <c r="K188"/>
    </row>
    <row r="189" spans="1:11" s="7" customFormat="1" x14ac:dyDescent="0.25">
      <c r="A189" s="18" t="s">
        <v>2338</v>
      </c>
      <c r="B189" s="18" t="s">
        <v>2339</v>
      </c>
      <c r="C189" s="19">
        <v>0</v>
      </c>
      <c r="D189" s="19">
        <v>0</v>
      </c>
      <c r="E189" s="19">
        <v>0</v>
      </c>
      <c r="F189" s="19">
        <v>0</v>
      </c>
      <c r="G189" s="17"/>
      <c r="J189"/>
      <c r="K189"/>
    </row>
    <row r="190" spans="1:11" s="7" customFormat="1" x14ac:dyDescent="0.25">
      <c r="A190" s="18" t="s">
        <v>2340</v>
      </c>
      <c r="B190" s="18" t="s">
        <v>2339</v>
      </c>
      <c r="C190" s="19">
        <v>0</v>
      </c>
      <c r="D190" s="19">
        <v>0</v>
      </c>
      <c r="E190" s="19">
        <v>0</v>
      </c>
      <c r="F190" s="19">
        <v>0</v>
      </c>
      <c r="G190" s="17"/>
      <c r="J190"/>
      <c r="K190"/>
    </row>
    <row r="191" spans="1:11" s="7" customFormat="1" x14ac:dyDescent="0.25">
      <c r="A191" s="18" t="s">
        <v>2341</v>
      </c>
      <c r="B191" s="18" t="s">
        <v>2342</v>
      </c>
      <c r="C191" s="19">
        <v>106.89</v>
      </c>
      <c r="D191" s="19">
        <v>0</v>
      </c>
      <c r="E191" s="19">
        <v>0</v>
      </c>
      <c r="F191" s="19">
        <v>0</v>
      </c>
      <c r="G191" s="17"/>
      <c r="J191"/>
      <c r="K191"/>
    </row>
    <row r="192" spans="1:11" s="7" customFormat="1" x14ac:dyDescent="0.25">
      <c r="A192" s="18" t="s">
        <v>2343</v>
      </c>
      <c r="B192" s="18" t="s">
        <v>2344</v>
      </c>
      <c r="C192" s="19">
        <v>0</v>
      </c>
      <c r="D192" s="19">
        <v>0</v>
      </c>
      <c r="E192" s="19">
        <v>0</v>
      </c>
      <c r="F192" s="19">
        <v>0</v>
      </c>
      <c r="G192" s="17"/>
      <c r="J192"/>
      <c r="K192"/>
    </row>
    <row r="193" spans="1:11" s="7" customFormat="1" x14ac:dyDescent="0.25">
      <c r="A193" s="18" t="s">
        <v>2345</v>
      </c>
      <c r="B193" s="18" t="s">
        <v>2346</v>
      </c>
      <c r="C193" s="19">
        <v>250.02</v>
      </c>
      <c r="D193" s="19">
        <v>250.02</v>
      </c>
      <c r="E193" s="19">
        <v>100</v>
      </c>
      <c r="F193" s="19">
        <v>0</v>
      </c>
      <c r="G193" s="17"/>
      <c r="J193"/>
      <c r="K193"/>
    </row>
    <row r="194" spans="1:11" s="7" customFormat="1" x14ac:dyDescent="0.25">
      <c r="A194" s="18" t="s">
        <v>2347</v>
      </c>
      <c r="B194" s="18" t="s">
        <v>2348</v>
      </c>
      <c r="C194" s="19">
        <v>1554.65</v>
      </c>
      <c r="D194" s="19">
        <v>992.1</v>
      </c>
      <c r="E194" s="19">
        <v>1000</v>
      </c>
      <c r="F194" s="19">
        <v>0</v>
      </c>
      <c r="G194" s="17"/>
      <c r="J194"/>
      <c r="K194"/>
    </row>
    <row r="195" spans="1:11" s="7" customFormat="1" x14ac:dyDescent="0.25">
      <c r="A195" s="18" t="s">
        <v>2349</v>
      </c>
      <c r="B195" s="18" t="s">
        <v>2350</v>
      </c>
      <c r="C195" s="19">
        <v>108.38</v>
      </c>
      <c r="D195" s="19">
        <v>93.52</v>
      </c>
      <c r="E195" s="19">
        <v>0</v>
      </c>
      <c r="F195" s="19">
        <v>0</v>
      </c>
      <c r="G195" s="17"/>
      <c r="J195"/>
      <c r="K195"/>
    </row>
    <row r="196" spans="1:11" s="7" customFormat="1" x14ac:dyDescent="0.25">
      <c r="A196" s="18" t="s">
        <v>2351</v>
      </c>
      <c r="B196" s="18" t="s">
        <v>2352</v>
      </c>
      <c r="C196" s="19">
        <v>182.35</v>
      </c>
      <c r="D196" s="19">
        <v>144.24</v>
      </c>
      <c r="E196" s="19">
        <v>0</v>
      </c>
      <c r="F196" s="19">
        <v>0</v>
      </c>
      <c r="G196" s="17"/>
      <c r="J196"/>
      <c r="K196"/>
    </row>
    <row r="197" spans="1:11" s="7" customFormat="1" x14ac:dyDescent="0.25">
      <c r="A197" s="18" t="s">
        <v>2353</v>
      </c>
      <c r="B197" s="18" t="s">
        <v>2354</v>
      </c>
      <c r="C197" s="19">
        <v>31272.7</v>
      </c>
      <c r="D197" s="19">
        <v>11687.81</v>
      </c>
      <c r="E197" s="19">
        <v>18000</v>
      </c>
      <c r="F197" s="19">
        <v>0</v>
      </c>
      <c r="G197" s="17"/>
      <c r="J197"/>
      <c r="K197"/>
    </row>
    <row r="198" spans="1:11" s="7" customFormat="1" x14ac:dyDescent="0.25">
      <c r="A198" s="18" t="s">
        <v>2355</v>
      </c>
      <c r="B198" s="18" t="s">
        <v>2356</v>
      </c>
      <c r="C198" s="19">
        <v>1710.26</v>
      </c>
      <c r="D198" s="19">
        <v>532.48</v>
      </c>
      <c r="E198" s="19">
        <v>1000</v>
      </c>
      <c r="F198" s="19">
        <v>0</v>
      </c>
      <c r="G198" s="17"/>
      <c r="J198"/>
      <c r="K198"/>
    </row>
    <row r="199" spans="1:11" s="7" customFormat="1" x14ac:dyDescent="0.25">
      <c r="A199" s="18" t="s">
        <v>2357</v>
      </c>
      <c r="B199" s="18" t="s">
        <v>2358</v>
      </c>
      <c r="C199" s="19">
        <v>0</v>
      </c>
      <c r="D199" s="19">
        <v>0</v>
      </c>
      <c r="E199" s="19">
        <v>0</v>
      </c>
      <c r="F199" s="19">
        <v>0</v>
      </c>
      <c r="G199" s="17"/>
      <c r="J199"/>
      <c r="K199"/>
    </row>
    <row r="200" spans="1:11" s="7" customFormat="1" x14ac:dyDescent="0.25">
      <c r="A200" s="18" t="s">
        <v>2359</v>
      </c>
      <c r="B200" s="18" t="s">
        <v>2360</v>
      </c>
      <c r="C200" s="19">
        <v>8126.97</v>
      </c>
      <c r="D200" s="19">
        <v>2246.91</v>
      </c>
      <c r="E200" s="19">
        <v>7000</v>
      </c>
      <c r="F200" s="19">
        <v>0</v>
      </c>
      <c r="G200" s="17"/>
      <c r="J200"/>
      <c r="K200"/>
    </row>
    <row r="201" spans="1:11" s="7" customFormat="1" x14ac:dyDescent="0.25">
      <c r="A201" s="18" t="s">
        <v>2361</v>
      </c>
      <c r="B201" s="18" t="s">
        <v>2362</v>
      </c>
      <c r="C201" s="19">
        <v>365.29</v>
      </c>
      <c r="D201" s="19">
        <v>74</v>
      </c>
      <c r="E201" s="19">
        <v>200</v>
      </c>
      <c r="F201" s="19">
        <v>0</v>
      </c>
      <c r="G201" s="17"/>
      <c r="J201"/>
      <c r="K201"/>
    </row>
    <row r="202" spans="1:11" s="7" customFormat="1" x14ac:dyDescent="0.25">
      <c r="A202" s="18" t="s">
        <v>2363</v>
      </c>
      <c r="B202" s="18" t="s">
        <v>2364</v>
      </c>
      <c r="C202" s="19">
        <v>268.13</v>
      </c>
      <c r="D202" s="19">
        <v>112.23</v>
      </c>
      <c r="E202" s="19">
        <v>100</v>
      </c>
      <c r="F202" s="19">
        <v>0</v>
      </c>
      <c r="G202" s="17"/>
      <c r="J202"/>
      <c r="K202"/>
    </row>
    <row r="203" spans="1:11" s="7" customFormat="1" x14ac:dyDescent="0.25">
      <c r="A203" s="18" t="s">
        <v>2365</v>
      </c>
      <c r="B203" s="18" t="s">
        <v>2366</v>
      </c>
      <c r="C203" s="19">
        <v>0</v>
      </c>
      <c r="D203" s="19">
        <v>0</v>
      </c>
      <c r="E203" s="19">
        <v>0</v>
      </c>
      <c r="F203" s="19">
        <v>0</v>
      </c>
      <c r="G203" s="17"/>
      <c r="J203"/>
      <c r="K203"/>
    </row>
    <row r="204" spans="1:11" s="7" customFormat="1" x14ac:dyDescent="0.25">
      <c r="A204" s="18" t="s">
        <v>2367</v>
      </c>
      <c r="B204" s="18" t="s">
        <v>2368</v>
      </c>
      <c r="C204" s="19">
        <v>12.36</v>
      </c>
      <c r="D204" s="19">
        <v>0</v>
      </c>
      <c r="E204" s="19">
        <v>0</v>
      </c>
      <c r="F204" s="19">
        <v>0</v>
      </c>
      <c r="G204" s="17"/>
      <c r="J204"/>
      <c r="K204"/>
    </row>
    <row r="205" spans="1:11" s="7" customFormat="1" x14ac:dyDescent="0.25">
      <c r="A205" s="18" t="s">
        <v>2369</v>
      </c>
      <c r="B205" s="18" t="s">
        <v>2370</v>
      </c>
      <c r="C205" s="19">
        <v>9895.59</v>
      </c>
      <c r="D205" s="19">
        <v>3326.22</v>
      </c>
      <c r="E205" s="19">
        <v>6000</v>
      </c>
      <c r="F205" s="19">
        <v>0</v>
      </c>
      <c r="G205" s="17"/>
      <c r="J205"/>
      <c r="K205"/>
    </row>
    <row r="206" spans="1:11" s="7" customFormat="1" x14ac:dyDescent="0.25">
      <c r="A206" s="18" t="s">
        <v>2371</v>
      </c>
      <c r="B206" s="18" t="s">
        <v>2372</v>
      </c>
      <c r="C206" s="19">
        <v>0</v>
      </c>
      <c r="D206" s="19">
        <v>0</v>
      </c>
      <c r="E206" s="19">
        <v>0</v>
      </c>
      <c r="F206" s="19">
        <v>0</v>
      </c>
      <c r="G206" s="17"/>
      <c r="J206"/>
      <c r="K206"/>
    </row>
    <row r="207" spans="1:11" s="7" customFormat="1" x14ac:dyDescent="0.25">
      <c r="A207" s="18" t="s">
        <v>2373</v>
      </c>
      <c r="B207" s="18" t="s">
        <v>2374</v>
      </c>
      <c r="C207" s="19">
        <v>0</v>
      </c>
      <c r="D207" s="19">
        <v>0</v>
      </c>
      <c r="E207" s="19">
        <v>0</v>
      </c>
      <c r="F207" s="19">
        <v>0</v>
      </c>
      <c r="G207" s="17"/>
      <c r="J207"/>
      <c r="K207"/>
    </row>
    <row r="208" spans="1:11" s="7" customFormat="1" x14ac:dyDescent="0.25">
      <c r="A208" s="18" t="s">
        <v>2375</v>
      </c>
      <c r="B208" s="18" t="s">
        <v>2376</v>
      </c>
      <c r="C208" s="19">
        <v>129.6</v>
      </c>
      <c r="D208" s="19">
        <v>-55.27</v>
      </c>
      <c r="E208" s="19">
        <v>0</v>
      </c>
      <c r="F208" s="19">
        <v>0</v>
      </c>
      <c r="G208" s="17"/>
      <c r="J208"/>
      <c r="K208"/>
    </row>
    <row r="209" spans="1:11" s="7" customFormat="1" x14ac:dyDescent="0.25">
      <c r="A209" s="18" t="s">
        <v>2377</v>
      </c>
      <c r="B209" s="18" t="s">
        <v>2378</v>
      </c>
      <c r="C209" s="19">
        <v>131.53</v>
      </c>
      <c r="D209" s="19">
        <v>35.43</v>
      </c>
      <c r="E209" s="19">
        <v>0</v>
      </c>
      <c r="F209" s="19">
        <v>0</v>
      </c>
      <c r="G209" s="17"/>
      <c r="J209"/>
      <c r="K209"/>
    </row>
    <row r="210" spans="1:11" s="7" customFormat="1" x14ac:dyDescent="0.25">
      <c r="A210" s="18" t="s">
        <v>2379</v>
      </c>
      <c r="B210" s="18" t="s">
        <v>2380</v>
      </c>
      <c r="C210" s="19">
        <v>278.8</v>
      </c>
      <c r="D210" s="19">
        <v>48.68</v>
      </c>
      <c r="E210" s="19">
        <v>0</v>
      </c>
      <c r="F210" s="19">
        <v>0</v>
      </c>
      <c r="G210" s="17"/>
      <c r="J210"/>
      <c r="K210"/>
    </row>
    <row r="211" spans="1:11" s="7" customFormat="1" x14ac:dyDescent="0.25">
      <c r="A211" s="18" t="s">
        <v>2381</v>
      </c>
      <c r="B211" s="18" t="s">
        <v>2382</v>
      </c>
      <c r="C211" s="19">
        <v>804</v>
      </c>
      <c r="D211" s="19">
        <v>136.80000000000001</v>
      </c>
      <c r="E211" s="19">
        <v>0</v>
      </c>
      <c r="F211" s="19">
        <v>0</v>
      </c>
      <c r="G211" s="17"/>
      <c r="J211"/>
      <c r="K211"/>
    </row>
    <row r="212" spans="1:11" s="7" customFormat="1" x14ac:dyDescent="0.25">
      <c r="A212" s="18" t="s">
        <v>2383</v>
      </c>
      <c r="B212" s="18" t="s">
        <v>2384</v>
      </c>
      <c r="C212" s="19">
        <v>0</v>
      </c>
      <c r="D212" s="19">
        <v>0</v>
      </c>
      <c r="E212" s="19">
        <v>0</v>
      </c>
      <c r="F212" s="19">
        <v>0</v>
      </c>
      <c r="G212" s="17"/>
      <c r="J212"/>
      <c r="K212"/>
    </row>
    <row r="213" spans="1:11" s="7" customFormat="1" x14ac:dyDescent="0.25">
      <c r="A213" s="18" t="s">
        <v>2385</v>
      </c>
      <c r="B213" s="18" t="s">
        <v>2386</v>
      </c>
      <c r="C213" s="19">
        <v>12.16</v>
      </c>
      <c r="D213" s="19">
        <v>0</v>
      </c>
      <c r="E213" s="19">
        <v>0</v>
      </c>
      <c r="F213" s="19">
        <v>0</v>
      </c>
      <c r="G213" s="17"/>
      <c r="J213"/>
      <c r="K213"/>
    </row>
    <row r="214" spans="1:11" s="7" customFormat="1" x14ac:dyDescent="0.25">
      <c r="A214" s="18" t="s">
        <v>2387</v>
      </c>
      <c r="B214" s="18" t="s">
        <v>2388</v>
      </c>
      <c r="C214" s="19">
        <v>663.39</v>
      </c>
      <c r="D214" s="19">
        <v>235.07</v>
      </c>
      <c r="E214" s="19">
        <v>0</v>
      </c>
      <c r="F214" s="19">
        <v>0</v>
      </c>
      <c r="G214" s="17"/>
      <c r="J214"/>
      <c r="K214"/>
    </row>
    <row r="215" spans="1:11" s="7" customFormat="1" x14ac:dyDescent="0.25">
      <c r="A215" s="18" t="s">
        <v>2389</v>
      </c>
      <c r="B215" s="18" t="s">
        <v>2390</v>
      </c>
      <c r="C215" s="19">
        <v>0</v>
      </c>
      <c r="D215" s="19">
        <v>123.61</v>
      </c>
      <c r="E215" s="19">
        <v>0</v>
      </c>
      <c r="F215" s="19">
        <v>0</v>
      </c>
      <c r="G215" s="17"/>
      <c r="J215"/>
      <c r="K215"/>
    </row>
    <row r="216" spans="1:11" s="7" customFormat="1" x14ac:dyDescent="0.25">
      <c r="A216" s="18" t="s">
        <v>2391</v>
      </c>
      <c r="B216" s="18" t="s">
        <v>2392</v>
      </c>
      <c r="C216" s="19">
        <v>0</v>
      </c>
      <c r="D216" s="19">
        <v>0</v>
      </c>
      <c r="E216" s="19">
        <v>0</v>
      </c>
      <c r="F216" s="19">
        <v>0</v>
      </c>
      <c r="G216" s="17"/>
      <c r="J216"/>
      <c r="K216"/>
    </row>
    <row r="217" spans="1:11" s="7" customFormat="1" x14ac:dyDescent="0.25">
      <c r="A217" s="18" t="s">
        <v>2393</v>
      </c>
      <c r="B217" s="18" t="s">
        <v>2394</v>
      </c>
      <c r="C217" s="19">
        <v>59.61</v>
      </c>
      <c r="D217" s="19">
        <v>0</v>
      </c>
      <c r="E217" s="19">
        <v>0</v>
      </c>
      <c r="F217" s="19">
        <v>0</v>
      </c>
      <c r="G217" s="17"/>
      <c r="J217"/>
      <c r="K217"/>
    </row>
    <row r="218" spans="1:11" s="7" customFormat="1" x14ac:dyDescent="0.25">
      <c r="A218" s="18" t="s">
        <v>2395</v>
      </c>
      <c r="B218" s="18" t="s">
        <v>2396</v>
      </c>
      <c r="C218" s="19">
        <v>248</v>
      </c>
      <c r="D218" s="19">
        <v>640</v>
      </c>
      <c r="E218" s="19">
        <v>0</v>
      </c>
      <c r="F218" s="19">
        <v>0</v>
      </c>
      <c r="G218" s="17"/>
      <c r="J218"/>
      <c r="K218"/>
    </row>
    <row r="219" spans="1:11" s="7" customFormat="1" x14ac:dyDescent="0.25">
      <c r="A219" s="18" t="s">
        <v>2397</v>
      </c>
      <c r="B219" s="18" t="s">
        <v>2398</v>
      </c>
      <c r="C219" s="19">
        <v>1151.8900000000001</v>
      </c>
      <c r="D219" s="19">
        <v>68.84</v>
      </c>
      <c r="E219" s="19">
        <v>0</v>
      </c>
      <c r="F219" s="19">
        <v>0</v>
      </c>
      <c r="G219" s="17"/>
      <c r="J219"/>
      <c r="K219"/>
    </row>
    <row r="220" spans="1:11" s="7" customFormat="1" x14ac:dyDescent="0.25">
      <c r="A220" s="23" t="s">
        <v>2545</v>
      </c>
      <c r="B220" s="16" t="s">
        <v>2</v>
      </c>
      <c r="C220" s="20">
        <v>119955.92</v>
      </c>
      <c r="D220" s="20">
        <v>35506.86</v>
      </c>
      <c r="E220" s="20">
        <f>SUM(E179:E219)</f>
        <v>73600</v>
      </c>
      <c r="F220" s="20">
        <f>SUM(F179:F219)</f>
        <v>0</v>
      </c>
      <c r="G220" s="17"/>
      <c r="J220"/>
      <c r="K220"/>
    </row>
    <row r="221" spans="1:11" s="7" customFormat="1" x14ac:dyDescent="0.25">
      <c r="A221" s="16" t="s">
        <v>2</v>
      </c>
      <c r="B221" s="16" t="s">
        <v>2</v>
      </c>
      <c r="C221" s="16" t="s">
        <v>2</v>
      </c>
      <c r="D221" s="16" t="s">
        <v>2</v>
      </c>
      <c r="E221" s="16" t="s">
        <v>2</v>
      </c>
      <c r="F221" s="16" t="s">
        <v>2</v>
      </c>
      <c r="G221" s="17"/>
      <c r="J221"/>
      <c r="K221"/>
    </row>
    <row r="222" spans="1:11" s="7" customFormat="1" x14ac:dyDescent="0.25">
      <c r="A222" s="16" t="s">
        <v>2399</v>
      </c>
      <c r="B222" s="16" t="s">
        <v>2</v>
      </c>
      <c r="C222" s="17"/>
      <c r="D222" s="17"/>
      <c r="E222" s="17"/>
      <c r="F222" s="17"/>
      <c r="G222" s="17"/>
      <c r="J222"/>
      <c r="K222"/>
    </row>
    <row r="223" spans="1:11" s="7" customFormat="1" x14ac:dyDescent="0.25">
      <c r="A223" s="18" t="s">
        <v>2400</v>
      </c>
      <c r="B223" s="18" t="s">
        <v>2401</v>
      </c>
      <c r="C223" s="19">
        <v>7859.7</v>
      </c>
      <c r="D223" s="19">
        <v>3998.81</v>
      </c>
      <c r="E223" s="19">
        <v>8500</v>
      </c>
      <c r="F223" s="19">
        <v>0</v>
      </c>
      <c r="G223" s="17"/>
      <c r="J223"/>
      <c r="K223"/>
    </row>
    <row r="224" spans="1:11" s="7" customFormat="1" x14ac:dyDescent="0.25">
      <c r="A224" s="18" t="s">
        <v>2402</v>
      </c>
      <c r="B224" s="18" t="s">
        <v>2403</v>
      </c>
      <c r="C224" s="19">
        <v>0</v>
      </c>
      <c r="D224" s="19">
        <v>0</v>
      </c>
      <c r="E224" s="19">
        <v>0</v>
      </c>
      <c r="F224" s="19">
        <v>0</v>
      </c>
      <c r="G224" s="17"/>
      <c r="J224"/>
      <c r="K224"/>
    </row>
    <row r="225" spans="1:11" s="7" customFormat="1" x14ac:dyDescent="0.25">
      <c r="A225" s="18" t="s">
        <v>2404</v>
      </c>
      <c r="B225" s="18" t="s">
        <v>2405</v>
      </c>
      <c r="C225" s="19">
        <v>0</v>
      </c>
      <c r="D225" s="19">
        <v>0</v>
      </c>
      <c r="E225" s="19">
        <v>0</v>
      </c>
      <c r="F225" s="19">
        <v>0</v>
      </c>
      <c r="G225" s="17"/>
      <c r="J225"/>
      <c r="K225"/>
    </row>
    <row r="226" spans="1:11" s="7" customFormat="1" x14ac:dyDescent="0.25">
      <c r="A226" s="18" t="s">
        <v>2406</v>
      </c>
      <c r="B226" s="18" t="s">
        <v>2407</v>
      </c>
      <c r="C226" s="19">
        <v>0</v>
      </c>
      <c r="D226" s="19">
        <v>0</v>
      </c>
      <c r="E226" s="19">
        <v>0</v>
      </c>
      <c r="F226" s="19">
        <v>0</v>
      </c>
      <c r="G226" s="17"/>
      <c r="J226"/>
      <c r="K226"/>
    </row>
    <row r="227" spans="1:11" s="7" customFormat="1" x14ac:dyDescent="0.25">
      <c r="A227" s="18" t="s">
        <v>2408</v>
      </c>
      <c r="B227" s="18" t="s">
        <v>2409</v>
      </c>
      <c r="C227" s="19">
        <v>3498.35</v>
      </c>
      <c r="D227" s="19">
        <v>2823.01</v>
      </c>
      <c r="E227" s="19">
        <v>2000</v>
      </c>
      <c r="F227" s="19">
        <v>0</v>
      </c>
      <c r="G227" s="17"/>
      <c r="J227"/>
      <c r="K227"/>
    </row>
    <row r="228" spans="1:11" s="7" customFormat="1" x14ac:dyDescent="0.25">
      <c r="A228" s="18" t="s">
        <v>2410</v>
      </c>
      <c r="B228" s="18" t="s">
        <v>2411</v>
      </c>
      <c r="C228" s="19">
        <v>25</v>
      </c>
      <c r="D228" s="19">
        <v>0</v>
      </c>
      <c r="E228" s="19">
        <v>0</v>
      </c>
      <c r="F228" s="19">
        <v>0</v>
      </c>
      <c r="G228" s="17"/>
      <c r="J228"/>
      <c r="K228"/>
    </row>
    <row r="229" spans="1:11" s="7" customFormat="1" x14ac:dyDescent="0.25">
      <c r="A229" s="18" t="s">
        <v>2412</v>
      </c>
      <c r="B229" s="18" t="s">
        <v>2413</v>
      </c>
      <c r="C229" s="19">
        <v>6847.18</v>
      </c>
      <c r="D229" s="19">
        <v>1759.97</v>
      </c>
      <c r="E229" s="19">
        <v>7000</v>
      </c>
      <c r="F229" s="19">
        <v>0</v>
      </c>
      <c r="G229" s="17"/>
      <c r="J229"/>
      <c r="K229"/>
    </row>
    <row r="230" spans="1:11" s="7" customFormat="1" x14ac:dyDescent="0.25">
      <c r="A230" s="18" t="s">
        <v>2414</v>
      </c>
      <c r="B230" s="18" t="s">
        <v>2413</v>
      </c>
      <c r="C230" s="19">
        <v>6847.18</v>
      </c>
      <c r="D230" s="19">
        <v>1759.97</v>
      </c>
      <c r="E230" s="19">
        <v>7000</v>
      </c>
      <c r="F230" s="19">
        <v>0</v>
      </c>
      <c r="G230" s="17"/>
      <c r="J230"/>
      <c r="K230"/>
    </row>
    <row r="231" spans="1:11" s="7" customFormat="1" x14ac:dyDescent="0.25">
      <c r="A231" s="18" t="s">
        <v>2415</v>
      </c>
      <c r="B231" s="18" t="s">
        <v>2416</v>
      </c>
      <c r="C231" s="19">
        <v>6141.96</v>
      </c>
      <c r="D231" s="19">
        <v>3070.98</v>
      </c>
      <c r="E231" s="19">
        <v>6142</v>
      </c>
      <c r="F231" s="19">
        <v>0</v>
      </c>
      <c r="G231" s="17"/>
      <c r="J231"/>
      <c r="K231"/>
    </row>
    <row r="232" spans="1:11" s="7" customFormat="1" x14ac:dyDescent="0.25">
      <c r="A232" s="18" t="s">
        <v>2417</v>
      </c>
      <c r="B232" s="18" t="s">
        <v>2418</v>
      </c>
      <c r="C232" s="19">
        <v>29</v>
      </c>
      <c r="D232" s="19">
        <v>12</v>
      </c>
      <c r="E232" s="19">
        <v>0</v>
      </c>
      <c r="F232" s="19">
        <v>0</v>
      </c>
      <c r="G232" s="17"/>
      <c r="J232"/>
      <c r="K232"/>
    </row>
    <row r="233" spans="1:11" s="7" customFormat="1" x14ac:dyDescent="0.25">
      <c r="A233" s="18" t="s">
        <v>2419</v>
      </c>
      <c r="B233" s="18" t="s">
        <v>2420</v>
      </c>
      <c r="C233" s="19">
        <v>0</v>
      </c>
      <c r="D233" s="19">
        <v>0</v>
      </c>
      <c r="E233" s="19">
        <v>0</v>
      </c>
      <c r="F233" s="19">
        <v>0</v>
      </c>
      <c r="G233" s="17"/>
      <c r="J233"/>
      <c r="K233"/>
    </row>
    <row r="234" spans="1:11" s="7" customFormat="1" x14ac:dyDescent="0.25">
      <c r="A234" s="18" t="s">
        <v>2421</v>
      </c>
      <c r="B234" s="18" t="s">
        <v>2422</v>
      </c>
      <c r="C234" s="19">
        <v>0</v>
      </c>
      <c r="D234" s="19">
        <v>0</v>
      </c>
      <c r="E234" s="19">
        <v>0</v>
      </c>
      <c r="F234" s="19">
        <v>0</v>
      </c>
      <c r="G234" s="17"/>
      <c r="J234"/>
      <c r="K234"/>
    </row>
    <row r="235" spans="1:11" s="7" customFormat="1" x14ac:dyDescent="0.25">
      <c r="A235" s="18" t="s">
        <v>2423</v>
      </c>
      <c r="B235" s="18" t="s">
        <v>2424</v>
      </c>
      <c r="C235" s="19">
        <v>6100</v>
      </c>
      <c r="D235" s="19">
        <v>0</v>
      </c>
      <c r="E235" s="19">
        <v>0</v>
      </c>
      <c r="F235" s="19">
        <v>0</v>
      </c>
      <c r="G235" s="17"/>
      <c r="J235"/>
      <c r="K235"/>
    </row>
    <row r="236" spans="1:11" s="7" customFormat="1" x14ac:dyDescent="0.25">
      <c r="A236" s="18" t="s">
        <v>2425</v>
      </c>
      <c r="B236" s="18" t="s">
        <v>2426</v>
      </c>
      <c r="C236" s="19">
        <v>6158.38</v>
      </c>
      <c r="D236" s="19">
        <v>0</v>
      </c>
      <c r="E236" s="19">
        <v>4000</v>
      </c>
      <c r="F236" s="19">
        <v>0</v>
      </c>
      <c r="G236" s="17"/>
      <c r="J236"/>
      <c r="K236"/>
    </row>
    <row r="237" spans="1:11" s="7" customFormat="1" x14ac:dyDescent="0.25">
      <c r="A237" s="18" t="s">
        <v>2427</v>
      </c>
      <c r="B237" s="18" t="s">
        <v>2428</v>
      </c>
      <c r="C237" s="19">
        <v>0</v>
      </c>
      <c r="D237" s="19">
        <v>0</v>
      </c>
      <c r="E237" s="19">
        <v>0</v>
      </c>
      <c r="F237" s="19">
        <v>0</v>
      </c>
      <c r="G237" s="17"/>
      <c r="J237"/>
      <c r="K237"/>
    </row>
    <row r="238" spans="1:11" s="7" customFormat="1" x14ac:dyDescent="0.25">
      <c r="A238" s="18" t="s">
        <v>2429</v>
      </c>
      <c r="B238" s="18" t="s">
        <v>2430</v>
      </c>
      <c r="C238" s="19">
        <v>0</v>
      </c>
      <c r="D238" s="19">
        <v>0</v>
      </c>
      <c r="E238" s="19">
        <v>0</v>
      </c>
      <c r="F238" s="19">
        <v>0</v>
      </c>
      <c r="G238" s="17"/>
      <c r="J238"/>
      <c r="K238"/>
    </row>
    <row r="239" spans="1:11" s="7" customFormat="1" x14ac:dyDescent="0.25">
      <c r="A239" s="18" t="s">
        <v>2431</v>
      </c>
      <c r="B239" s="18" t="s">
        <v>2432</v>
      </c>
      <c r="C239" s="19">
        <v>0</v>
      </c>
      <c r="D239" s="19">
        <v>0</v>
      </c>
      <c r="E239" s="19">
        <v>1000</v>
      </c>
      <c r="F239" s="19">
        <v>0</v>
      </c>
      <c r="G239" s="17"/>
      <c r="J239"/>
      <c r="K239"/>
    </row>
    <row r="240" spans="1:11" s="7" customFormat="1" x14ac:dyDescent="0.25">
      <c r="A240" s="18" t="s">
        <v>2433</v>
      </c>
      <c r="B240" s="18" t="s">
        <v>2434</v>
      </c>
      <c r="C240" s="19">
        <v>51533.42</v>
      </c>
      <c r="D240" s="19">
        <v>47950.97</v>
      </c>
      <c r="E240" s="19">
        <v>47950.98</v>
      </c>
      <c r="F240" s="19">
        <v>0</v>
      </c>
      <c r="G240" s="17"/>
      <c r="J240"/>
      <c r="K240"/>
    </row>
    <row r="241" spans="1:11" s="7" customFormat="1" x14ac:dyDescent="0.25">
      <c r="A241" s="18" t="s">
        <v>2435</v>
      </c>
      <c r="B241" s="18" t="s">
        <v>2436</v>
      </c>
      <c r="C241" s="19">
        <v>0</v>
      </c>
      <c r="D241" s="19">
        <v>0</v>
      </c>
      <c r="E241" s="19">
        <v>0</v>
      </c>
      <c r="F241" s="19">
        <v>0</v>
      </c>
      <c r="G241" s="17"/>
      <c r="J241"/>
      <c r="K241"/>
    </row>
    <row r="242" spans="1:11" s="7" customFormat="1" ht="24" x14ac:dyDescent="0.25">
      <c r="A242" s="18" t="s">
        <v>2437</v>
      </c>
      <c r="B242" s="18" t="s">
        <v>2438</v>
      </c>
      <c r="C242" s="19">
        <v>0</v>
      </c>
      <c r="D242" s="19">
        <v>0</v>
      </c>
      <c r="E242" s="19">
        <v>0</v>
      </c>
      <c r="F242" s="19">
        <v>0</v>
      </c>
      <c r="G242" s="17"/>
      <c r="J242"/>
      <c r="K242"/>
    </row>
    <row r="243" spans="1:11" s="7" customFormat="1" x14ac:dyDescent="0.25">
      <c r="A243" s="18" t="s">
        <v>2439</v>
      </c>
      <c r="B243" s="18" t="s">
        <v>2440</v>
      </c>
      <c r="C243" s="19">
        <v>5</v>
      </c>
      <c r="D243" s="19">
        <v>0</v>
      </c>
      <c r="E243" s="19">
        <v>0</v>
      </c>
      <c r="F243" s="19">
        <v>0</v>
      </c>
      <c r="G243" s="17"/>
      <c r="J243"/>
      <c r="K243"/>
    </row>
    <row r="244" spans="1:11" s="7" customFormat="1" x14ac:dyDescent="0.25">
      <c r="A244" s="18" t="s">
        <v>2441</v>
      </c>
      <c r="B244" s="18" t="s">
        <v>2442</v>
      </c>
      <c r="C244" s="19">
        <v>202</v>
      </c>
      <c r="D244" s="19">
        <v>3312.96</v>
      </c>
      <c r="E244" s="19">
        <v>0</v>
      </c>
      <c r="F244" s="19">
        <v>0</v>
      </c>
      <c r="G244" s="17"/>
      <c r="J244"/>
      <c r="K244"/>
    </row>
    <row r="245" spans="1:11" s="7" customFormat="1" x14ac:dyDescent="0.25">
      <c r="A245" s="18" t="s">
        <v>2443</v>
      </c>
      <c r="B245" s="18" t="s">
        <v>2444</v>
      </c>
      <c r="C245" s="19">
        <v>3764.44</v>
      </c>
      <c r="D245" s="19">
        <v>0</v>
      </c>
      <c r="E245" s="19">
        <v>0</v>
      </c>
      <c r="F245" s="19">
        <v>0</v>
      </c>
      <c r="G245" s="17"/>
      <c r="J245"/>
      <c r="K245"/>
    </row>
    <row r="246" spans="1:11" s="7" customFormat="1" x14ac:dyDescent="0.25">
      <c r="A246" s="18" t="s">
        <v>2445</v>
      </c>
      <c r="B246" s="18" t="s">
        <v>2446</v>
      </c>
      <c r="C246" s="19">
        <v>0</v>
      </c>
      <c r="D246" s="19">
        <v>0</v>
      </c>
      <c r="E246" s="19">
        <v>0</v>
      </c>
      <c r="F246" s="19">
        <v>0</v>
      </c>
      <c r="G246" s="17"/>
      <c r="J246"/>
      <c r="K246"/>
    </row>
    <row r="247" spans="1:11" s="7" customFormat="1" x14ac:dyDescent="0.25">
      <c r="A247" s="18" t="s">
        <v>2447</v>
      </c>
      <c r="B247" s="18" t="s">
        <v>2448</v>
      </c>
      <c r="C247" s="19">
        <v>13.24</v>
      </c>
      <c r="D247" s="19">
        <v>0</v>
      </c>
      <c r="E247" s="19">
        <v>0</v>
      </c>
      <c r="F247" s="19">
        <v>0</v>
      </c>
      <c r="G247" s="17"/>
      <c r="J247"/>
      <c r="K247"/>
    </row>
    <row r="248" spans="1:11" s="7" customFormat="1" x14ac:dyDescent="0.25">
      <c r="A248" s="18" t="s">
        <v>2449</v>
      </c>
      <c r="B248" s="18" t="s">
        <v>2450</v>
      </c>
      <c r="C248" s="19">
        <v>0</v>
      </c>
      <c r="D248" s="19">
        <v>0</v>
      </c>
      <c r="E248" s="19">
        <v>0</v>
      </c>
      <c r="F248" s="19">
        <v>0</v>
      </c>
      <c r="G248" s="17"/>
      <c r="J248"/>
      <c r="K248"/>
    </row>
    <row r="249" spans="1:11" s="7" customFormat="1" x14ac:dyDescent="0.25">
      <c r="A249" s="18" t="s">
        <v>2451</v>
      </c>
      <c r="B249" s="18" t="s">
        <v>2452</v>
      </c>
      <c r="C249" s="19">
        <v>0</v>
      </c>
      <c r="D249" s="19">
        <v>0</v>
      </c>
      <c r="E249" s="19">
        <v>0</v>
      </c>
      <c r="F249" s="19">
        <v>0</v>
      </c>
      <c r="G249" s="17"/>
      <c r="J249"/>
      <c r="K249"/>
    </row>
    <row r="250" spans="1:11" s="7" customFormat="1" x14ac:dyDescent="0.25">
      <c r="A250" s="18" t="s">
        <v>2453</v>
      </c>
      <c r="B250" s="18" t="s">
        <v>2454</v>
      </c>
      <c r="C250" s="19">
        <v>0.5</v>
      </c>
      <c r="D250" s="19">
        <v>0.95</v>
      </c>
      <c r="E250" s="19">
        <v>0</v>
      </c>
      <c r="F250" s="19">
        <v>0</v>
      </c>
      <c r="G250" s="17"/>
      <c r="J250"/>
      <c r="K250"/>
    </row>
    <row r="251" spans="1:11" s="7" customFormat="1" x14ac:dyDescent="0.25">
      <c r="A251" s="18" t="s">
        <v>2455</v>
      </c>
      <c r="B251" s="18" t="s">
        <v>2456</v>
      </c>
      <c r="C251" s="19">
        <v>0</v>
      </c>
      <c r="D251" s="19">
        <v>0</v>
      </c>
      <c r="E251" s="19">
        <v>0</v>
      </c>
      <c r="F251" s="19">
        <v>0</v>
      </c>
      <c r="G251" s="17"/>
      <c r="J251"/>
      <c r="K251"/>
    </row>
    <row r="252" spans="1:11" s="7" customFormat="1" x14ac:dyDescent="0.25">
      <c r="A252" s="18" t="s">
        <v>2457</v>
      </c>
      <c r="B252" s="18" t="s">
        <v>2458</v>
      </c>
      <c r="C252" s="19">
        <v>2411.52</v>
      </c>
      <c r="D252" s="19">
        <v>2426.7600000000002</v>
      </c>
      <c r="E252" s="19">
        <v>0</v>
      </c>
      <c r="F252" s="19">
        <v>0</v>
      </c>
      <c r="G252" s="17"/>
      <c r="J252"/>
      <c r="K252"/>
    </row>
    <row r="253" spans="1:11" s="7" customFormat="1" x14ac:dyDescent="0.25">
      <c r="A253" s="18" t="s">
        <v>2459</v>
      </c>
      <c r="B253" s="18" t="s">
        <v>2460</v>
      </c>
      <c r="C253" s="19">
        <v>0</v>
      </c>
      <c r="D253" s="19">
        <v>0</v>
      </c>
      <c r="E253" s="19">
        <v>0</v>
      </c>
      <c r="F253" s="19">
        <v>0</v>
      </c>
      <c r="G253" s="17"/>
      <c r="J253"/>
      <c r="K253"/>
    </row>
    <row r="254" spans="1:11" s="7" customFormat="1" x14ac:dyDescent="0.25">
      <c r="A254" s="18" t="s">
        <v>2461</v>
      </c>
      <c r="B254" s="18" t="s">
        <v>2398</v>
      </c>
      <c r="C254" s="19">
        <v>0</v>
      </c>
      <c r="D254" s="19">
        <v>0</v>
      </c>
      <c r="E254" s="19">
        <v>0</v>
      </c>
      <c r="F254" s="19">
        <v>0</v>
      </c>
      <c r="G254" s="17"/>
      <c r="J254"/>
      <c r="K254"/>
    </row>
    <row r="255" spans="1:11" s="7" customFormat="1" x14ac:dyDescent="0.25">
      <c r="A255" s="18" t="s">
        <v>2462</v>
      </c>
      <c r="B255" s="18" t="s">
        <v>2463</v>
      </c>
      <c r="C255" s="19">
        <v>0</v>
      </c>
      <c r="D255" s="19">
        <v>0</v>
      </c>
      <c r="E255" s="19">
        <v>0</v>
      </c>
      <c r="F255" s="19">
        <v>0</v>
      </c>
      <c r="G255" s="17"/>
      <c r="J255"/>
      <c r="K255"/>
    </row>
    <row r="256" spans="1:11" s="7" customFormat="1" x14ac:dyDescent="0.25">
      <c r="A256" s="18" t="s">
        <v>2464</v>
      </c>
      <c r="B256" s="18" t="s">
        <v>2465</v>
      </c>
      <c r="C256" s="19">
        <v>0</v>
      </c>
      <c r="D256" s="19">
        <v>0</v>
      </c>
      <c r="E256" s="19">
        <v>0</v>
      </c>
      <c r="F256" s="19">
        <v>0</v>
      </c>
      <c r="G256" s="17"/>
      <c r="J256"/>
      <c r="K256"/>
    </row>
    <row r="257" spans="1:11" s="7" customFormat="1" ht="24" x14ac:dyDescent="0.25">
      <c r="A257" s="18" t="s">
        <v>2466</v>
      </c>
      <c r="B257" s="18" t="s">
        <v>2467</v>
      </c>
      <c r="C257" s="19">
        <v>0</v>
      </c>
      <c r="D257" s="19">
        <v>0</v>
      </c>
      <c r="E257" s="19">
        <v>0</v>
      </c>
      <c r="F257" s="19">
        <v>0</v>
      </c>
      <c r="G257" s="17"/>
      <c r="J257"/>
      <c r="K257"/>
    </row>
    <row r="258" spans="1:11" s="7" customFormat="1" x14ac:dyDescent="0.25">
      <c r="A258" s="18" t="s">
        <v>2468</v>
      </c>
      <c r="B258" s="18" t="s">
        <v>2469</v>
      </c>
      <c r="C258" s="19">
        <v>0</v>
      </c>
      <c r="D258" s="19">
        <v>0</v>
      </c>
      <c r="E258" s="19">
        <v>0</v>
      </c>
      <c r="F258" s="19">
        <v>0</v>
      </c>
      <c r="G258" s="17"/>
      <c r="J258"/>
      <c r="K258"/>
    </row>
    <row r="259" spans="1:11" s="7" customFormat="1" x14ac:dyDescent="0.25">
      <c r="A259" s="18" t="s">
        <v>2470</v>
      </c>
      <c r="B259" s="18" t="s">
        <v>2471</v>
      </c>
      <c r="C259" s="19">
        <v>0</v>
      </c>
      <c r="D259" s="19">
        <v>0</v>
      </c>
      <c r="E259" s="19">
        <v>0</v>
      </c>
      <c r="F259" s="19">
        <v>0</v>
      </c>
      <c r="G259" s="17"/>
      <c r="J259"/>
      <c r="K259"/>
    </row>
    <row r="260" spans="1:11" s="7" customFormat="1" x14ac:dyDescent="0.25">
      <c r="A260" s="18" t="s">
        <v>2472</v>
      </c>
      <c r="B260" s="18" t="s">
        <v>2473</v>
      </c>
      <c r="C260" s="19">
        <v>792</v>
      </c>
      <c r="D260" s="19">
        <v>660</v>
      </c>
      <c r="E260" s="19">
        <v>0</v>
      </c>
      <c r="F260" s="19">
        <v>0</v>
      </c>
      <c r="G260" s="17"/>
      <c r="J260"/>
      <c r="K260"/>
    </row>
    <row r="261" spans="1:11" s="7" customFormat="1" x14ac:dyDescent="0.25">
      <c r="A261" s="18" t="s">
        <v>2474</v>
      </c>
      <c r="B261" s="18" t="s">
        <v>2475</v>
      </c>
      <c r="C261" s="19">
        <v>66</v>
      </c>
      <c r="D261" s="19">
        <v>0</v>
      </c>
      <c r="E261" s="19">
        <v>0</v>
      </c>
      <c r="F261" s="19">
        <v>0</v>
      </c>
      <c r="G261" s="17"/>
      <c r="J261"/>
      <c r="K261"/>
    </row>
    <row r="262" spans="1:11" s="7" customFormat="1" ht="24" x14ac:dyDescent="0.25">
      <c r="A262" s="18" t="s">
        <v>2476</v>
      </c>
      <c r="B262" s="18" t="s">
        <v>2477</v>
      </c>
      <c r="C262" s="19">
        <v>0</v>
      </c>
      <c r="D262" s="19">
        <v>0</v>
      </c>
      <c r="E262" s="19">
        <v>0</v>
      </c>
      <c r="F262" s="19">
        <v>0</v>
      </c>
      <c r="G262" s="17"/>
      <c r="J262"/>
      <c r="K262"/>
    </row>
    <row r="263" spans="1:11" s="7" customFormat="1" x14ac:dyDescent="0.25">
      <c r="A263" s="18" t="s">
        <v>2478</v>
      </c>
      <c r="B263" s="18" t="s">
        <v>2479</v>
      </c>
      <c r="C263" s="19">
        <v>0</v>
      </c>
      <c r="D263" s="19">
        <v>0</v>
      </c>
      <c r="E263" s="19">
        <v>0</v>
      </c>
      <c r="F263" s="19">
        <v>0</v>
      </c>
      <c r="G263" s="17"/>
      <c r="J263"/>
      <c r="K263"/>
    </row>
    <row r="264" spans="1:11" s="7" customFormat="1" x14ac:dyDescent="0.25">
      <c r="A264" s="18" t="s">
        <v>2480</v>
      </c>
      <c r="B264" s="18" t="s">
        <v>2481</v>
      </c>
      <c r="C264" s="19">
        <v>0</v>
      </c>
      <c r="D264" s="19">
        <v>0</v>
      </c>
      <c r="E264" s="19">
        <v>0</v>
      </c>
      <c r="F264" s="19">
        <v>0</v>
      </c>
      <c r="G264" s="17"/>
      <c r="J264"/>
      <c r="K264"/>
    </row>
    <row r="265" spans="1:11" s="7" customFormat="1" x14ac:dyDescent="0.25">
      <c r="A265" s="18" t="s">
        <v>2482</v>
      </c>
      <c r="B265" s="18" t="s">
        <v>2483</v>
      </c>
      <c r="C265" s="19">
        <v>0</v>
      </c>
      <c r="D265" s="19">
        <v>0</v>
      </c>
      <c r="E265" s="19">
        <v>0</v>
      </c>
      <c r="F265" s="19">
        <v>0</v>
      </c>
      <c r="G265" s="17"/>
      <c r="J265"/>
      <c r="K265"/>
    </row>
    <row r="266" spans="1:11" s="7" customFormat="1" x14ac:dyDescent="0.25">
      <c r="A266" s="18" t="s">
        <v>2484</v>
      </c>
      <c r="B266" s="18" t="s">
        <v>2485</v>
      </c>
      <c r="C266" s="19">
        <v>0</v>
      </c>
      <c r="D266" s="19">
        <v>0</v>
      </c>
      <c r="E266" s="19">
        <v>0</v>
      </c>
      <c r="F266" s="19">
        <v>0</v>
      </c>
      <c r="G266" s="17"/>
      <c r="J266"/>
      <c r="K266"/>
    </row>
    <row r="267" spans="1:11" s="7" customFormat="1" x14ac:dyDescent="0.25">
      <c r="A267" s="18" t="s">
        <v>2486</v>
      </c>
      <c r="B267" s="18" t="s">
        <v>2487</v>
      </c>
      <c r="C267" s="19">
        <v>0</v>
      </c>
      <c r="D267" s="19">
        <v>0</v>
      </c>
      <c r="E267" s="19">
        <v>0</v>
      </c>
      <c r="F267" s="19">
        <v>0</v>
      </c>
      <c r="G267" s="17"/>
      <c r="J267"/>
      <c r="K267"/>
    </row>
    <row r="268" spans="1:11" s="7" customFormat="1" x14ac:dyDescent="0.25">
      <c r="A268" s="18" t="s">
        <v>2488</v>
      </c>
      <c r="B268" s="18" t="s">
        <v>2489</v>
      </c>
      <c r="C268" s="19">
        <v>0</v>
      </c>
      <c r="D268" s="19">
        <v>0</v>
      </c>
      <c r="E268" s="19">
        <v>0</v>
      </c>
      <c r="F268" s="19">
        <v>0</v>
      </c>
      <c r="G268" s="17"/>
      <c r="J268"/>
      <c r="K268"/>
    </row>
    <row r="269" spans="1:11" s="7" customFormat="1" x14ac:dyDescent="0.25">
      <c r="A269" s="18" t="s">
        <v>2490</v>
      </c>
      <c r="B269" s="18" t="s">
        <v>2491</v>
      </c>
      <c r="C269" s="19">
        <v>0</v>
      </c>
      <c r="D269" s="19">
        <v>0</v>
      </c>
      <c r="E269" s="19">
        <v>0</v>
      </c>
      <c r="F269" s="19">
        <v>0</v>
      </c>
      <c r="G269" s="17"/>
      <c r="J269"/>
      <c r="K269"/>
    </row>
    <row r="270" spans="1:11" s="7" customFormat="1" x14ac:dyDescent="0.25">
      <c r="A270" s="18" t="s">
        <v>2492</v>
      </c>
      <c r="B270" s="18" t="s">
        <v>2493</v>
      </c>
      <c r="C270" s="19">
        <v>0</v>
      </c>
      <c r="D270" s="19">
        <v>0</v>
      </c>
      <c r="E270" s="19">
        <v>0</v>
      </c>
      <c r="F270" s="19">
        <v>0</v>
      </c>
      <c r="G270" s="17"/>
      <c r="J270"/>
      <c r="K270"/>
    </row>
    <row r="271" spans="1:11" s="7" customFormat="1" x14ac:dyDescent="0.25">
      <c r="A271" s="18" t="s">
        <v>2494</v>
      </c>
      <c r="B271" s="18" t="s">
        <v>2495</v>
      </c>
      <c r="C271" s="19">
        <v>0</v>
      </c>
      <c r="D271" s="19">
        <v>0</v>
      </c>
      <c r="E271" s="19">
        <v>0</v>
      </c>
      <c r="F271" s="19">
        <v>0</v>
      </c>
      <c r="G271" s="17"/>
      <c r="J271"/>
      <c r="K271"/>
    </row>
    <row r="272" spans="1:11" s="7" customFormat="1" x14ac:dyDescent="0.25">
      <c r="A272" s="18" t="s">
        <v>2496</v>
      </c>
      <c r="B272" s="18" t="s">
        <v>2497</v>
      </c>
      <c r="C272" s="19">
        <v>0</v>
      </c>
      <c r="D272" s="19">
        <v>0</v>
      </c>
      <c r="E272" s="19">
        <v>0</v>
      </c>
      <c r="F272" s="19">
        <v>0</v>
      </c>
      <c r="G272" s="17"/>
      <c r="J272"/>
      <c r="K272"/>
    </row>
    <row r="273" spans="1:11" s="7" customFormat="1" ht="24" x14ac:dyDescent="0.25">
      <c r="A273" s="18" t="s">
        <v>2498</v>
      </c>
      <c r="B273" s="18" t="s">
        <v>2499</v>
      </c>
      <c r="C273" s="19">
        <v>355.84</v>
      </c>
      <c r="D273" s="19">
        <v>0</v>
      </c>
      <c r="E273" s="19">
        <v>0</v>
      </c>
      <c r="F273" s="19">
        <v>0</v>
      </c>
      <c r="G273" s="17"/>
      <c r="J273"/>
      <c r="K273"/>
    </row>
    <row r="274" spans="1:11" s="7" customFormat="1" x14ac:dyDescent="0.25">
      <c r="A274" s="18" t="s">
        <v>2500</v>
      </c>
      <c r="B274" s="18" t="s">
        <v>2501</v>
      </c>
      <c r="C274" s="19">
        <v>0</v>
      </c>
      <c r="D274" s="19">
        <v>0</v>
      </c>
      <c r="E274" s="19">
        <v>0</v>
      </c>
      <c r="F274" s="19">
        <v>0</v>
      </c>
      <c r="G274" s="17"/>
      <c r="J274"/>
      <c r="K274"/>
    </row>
    <row r="275" spans="1:11" s="7" customFormat="1" x14ac:dyDescent="0.25">
      <c r="A275" s="18" t="s">
        <v>2502</v>
      </c>
      <c r="B275" s="18" t="s">
        <v>2503</v>
      </c>
      <c r="C275" s="19">
        <v>24</v>
      </c>
      <c r="D275" s="19">
        <v>2</v>
      </c>
      <c r="E275" s="19">
        <v>0</v>
      </c>
      <c r="F275" s="19">
        <v>0</v>
      </c>
      <c r="G275" s="17"/>
      <c r="J275"/>
      <c r="K275"/>
    </row>
    <row r="276" spans="1:11" s="7" customFormat="1" x14ac:dyDescent="0.25">
      <c r="A276" s="18" t="s">
        <v>2504</v>
      </c>
      <c r="B276" s="18" t="s">
        <v>2505</v>
      </c>
      <c r="C276" s="19">
        <v>21</v>
      </c>
      <c r="D276" s="19">
        <v>0</v>
      </c>
      <c r="E276" s="19">
        <v>0</v>
      </c>
      <c r="F276" s="19">
        <v>0</v>
      </c>
      <c r="G276" s="17"/>
      <c r="J276"/>
      <c r="K276"/>
    </row>
    <row r="277" spans="1:11" s="7" customFormat="1" x14ac:dyDescent="0.25">
      <c r="A277" s="18" t="s">
        <v>2506</v>
      </c>
      <c r="B277" s="18" t="s">
        <v>64</v>
      </c>
      <c r="C277" s="19">
        <v>3</v>
      </c>
      <c r="D277" s="19">
        <v>0</v>
      </c>
      <c r="E277" s="19">
        <v>0</v>
      </c>
      <c r="F277" s="19">
        <v>0</v>
      </c>
      <c r="G277" s="17"/>
      <c r="J277"/>
      <c r="K277"/>
    </row>
    <row r="278" spans="1:11" s="7" customFormat="1" x14ac:dyDescent="0.25">
      <c r="A278" s="18" t="s">
        <v>2507</v>
      </c>
      <c r="B278" s="18" t="s">
        <v>2508</v>
      </c>
      <c r="C278" s="19">
        <v>0</v>
      </c>
      <c r="D278" s="19">
        <v>0</v>
      </c>
      <c r="E278" s="19">
        <v>0</v>
      </c>
      <c r="F278" s="19">
        <v>0</v>
      </c>
      <c r="G278" s="17"/>
      <c r="J278"/>
      <c r="K278"/>
    </row>
    <row r="279" spans="1:11" s="7" customFormat="1" x14ac:dyDescent="0.25">
      <c r="A279" s="18" t="s">
        <v>2509</v>
      </c>
      <c r="B279" s="18" t="s">
        <v>2510</v>
      </c>
      <c r="C279" s="19">
        <v>1707.22</v>
      </c>
      <c r="D279" s="19">
        <v>2243.88</v>
      </c>
      <c r="E279" s="19">
        <v>0</v>
      </c>
      <c r="F279" s="19">
        <v>0</v>
      </c>
      <c r="G279" s="17"/>
      <c r="J279"/>
      <c r="K279"/>
    </row>
    <row r="280" spans="1:11" s="7" customFormat="1" x14ac:dyDescent="0.25">
      <c r="A280" s="16" t="s">
        <v>2511</v>
      </c>
      <c r="B280" s="16" t="s">
        <v>2</v>
      </c>
      <c r="C280" s="20">
        <v>104405.93</v>
      </c>
      <c r="D280" s="20">
        <v>70022.259999999995</v>
      </c>
      <c r="E280" s="20">
        <f>SUM(E223:E279)</f>
        <v>83592.98000000001</v>
      </c>
      <c r="F280" s="20">
        <f>SUM(F223:F279)</f>
        <v>0</v>
      </c>
      <c r="G280" s="17"/>
      <c r="J280"/>
      <c r="K280"/>
    </row>
    <row r="281" spans="1:11" s="7" customFormat="1" x14ac:dyDescent="0.25">
      <c r="A281" s="16" t="s">
        <v>2</v>
      </c>
      <c r="B281" s="16" t="s">
        <v>2</v>
      </c>
      <c r="C281" s="16" t="s">
        <v>2</v>
      </c>
      <c r="D281" s="16" t="s">
        <v>2</v>
      </c>
      <c r="E281" s="16" t="s">
        <v>2</v>
      </c>
      <c r="F281" s="16" t="s">
        <v>2</v>
      </c>
      <c r="G281" s="17"/>
      <c r="J281"/>
      <c r="K281"/>
    </row>
    <row r="282" spans="1:11" s="7" customFormat="1" x14ac:dyDescent="0.25">
      <c r="A282" s="23" t="s">
        <v>2546</v>
      </c>
      <c r="B282" s="16" t="s">
        <v>2</v>
      </c>
      <c r="C282" s="17"/>
      <c r="D282" s="17"/>
      <c r="E282" s="17"/>
      <c r="F282" s="17"/>
      <c r="G282" s="17"/>
      <c r="J282"/>
      <c r="K282"/>
    </row>
    <row r="283" spans="1:11" s="7" customFormat="1" x14ac:dyDescent="0.25">
      <c r="A283" s="18" t="s">
        <v>2512</v>
      </c>
      <c r="B283" s="18" t="s">
        <v>2513</v>
      </c>
      <c r="C283" s="19">
        <v>270000</v>
      </c>
      <c r="D283" s="19">
        <v>0</v>
      </c>
      <c r="E283" s="19">
        <v>270000</v>
      </c>
      <c r="F283" s="19">
        <v>0</v>
      </c>
      <c r="G283" s="17"/>
      <c r="J283"/>
      <c r="K283"/>
    </row>
    <row r="284" spans="1:11" s="7" customFormat="1" x14ac:dyDescent="0.25">
      <c r="A284" s="18" t="s">
        <v>2514</v>
      </c>
      <c r="B284" s="18" t="s">
        <v>2515</v>
      </c>
      <c r="C284" s="19">
        <v>0</v>
      </c>
      <c r="D284" s="19">
        <v>0</v>
      </c>
      <c r="E284" s="19">
        <v>0</v>
      </c>
      <c r="F284" s="19">
        <v>0</v>
      </c>
      <c r="G284" s="17"/>
      <c r="J284"/>
      <c r="K284"/>
    </row>
    <row r="285" spans="1:11" s="7" customFormat="1" x14ac:dyDescent="0.25">
      <c r="A285" s="18" t="s">
        <v>2516</v>
      </c>
      <c r="B285" s="18" t="s">
        <v>2517</v>
      </c>
      <c r="C285" s="19">
        <v>0</v>
      </c>
      <c r="D285" s="19">
        <v>0</v>
      </c>
      <c r="E285" s="19">
        <v>0</v>
      </c>
      <c r="F285" s="19">
        <v>0</v>
      </c>
      <c r="G285" s="17"/>
      <c r="J285"/>
      <c r="K285"/>
    </row>
    <row r="286" spans="1:11" s="7" customFormat="1" x14ac:dyDescent="0.25">
      <c r="A286" s="18" t="s">
        <v>2518</v>
      </c>
      <c r="B286" s="18" t="s">
        <v>2519</v>
      </c>
      <c r="C286" s="19">
        <v>50000</v>
      </c>
      <c r="D286" s="19">
        <v>0</v>
      </c>
      <c r="E286" s="19">
        <v>0</v>
      </c>
      <c r="F286" s="19">
        <v>0</v>
      </c>
      <c r="G286" s="17"/>
      <c r="J286"/>
      <c r="K286"/>
    </row>
    <row r="287" spans="1:11" s="7" customFormat="1" x14ac:dyDescent="0.25">
      <c r="A287" s="18" t="s">
        <v>2520</v>
      </c>
      <c r="B287" s="18" t="s">
        <v>2521</v>
      </c>
      <c r="C287" s="19">
        <v>8000</v>
      </c>
      <c r="D287" s="19">
        <v>0</v>
      </c>
      <c r="E287" s="19">
        <v>13500</v>
      </c>
      <c r="F287" s="19">
        <v>0</v>
      </c>
      <c r="G287" s="17"/>
      <c r="J287"/>
      <c r="K287"/>
    </row>
    <row r="288" spans="1:11" s="7" customFormat="1" x14ac:dyDescent="0.25">
      <c r="A288" s="18" t="s">
        <v>2522</v>
      </c>
      <c r="B288" s="18" t="s">
        <v>2523</v>
      </c>
      <c r="C288" s="19">
        <v>91813.5</v>
      </c>
      <c r="D288" s="19">
        <v>0</v>
      </c>
      <c r="E288" s="19">
        <v>50000</v>
      </c>
      <c r="F288" s="19">
        <v>0</v>
      </c>
      <c r="G288" s="17"/>
      <c r="J288"/>
      <c r="K288"/>
    </row>
    <row r="289" spans="1:11" s="7" customFormat="1" x14ac:dyDescent="0.25">
      <c r="A289" s="18" t="s">
        <v>2524</v>
      </c>
      <c r="B289" s="18" t="s">
        <v>2525</v>
      </c>
      <c r="C289" s="19">
        <v>25000</v>
      </c>
      <c r="D289" s="19">
        <v>0</v>
      </c>
      <c r="E289" s="19">
        <v>25000</v>
      </c>
      <c r="F289" s="19">
        <v>0</v>
      </c>
      <c r="G289" s="17"/>
      <c r="J289"/>
      <c r="K289"/>
    </row>
    <row r="290" spans="1:11" s="7" customFormat="1" x14ac:dyDescent="0.25">
      <c r="A290" s="18" t="s">
        <v>2526</v>
      </c>
      <c r="B290" s="18" t="s">
        <v>2527</v>
      </c>
      <c r="C290" s="19">
        <v>0</v>
      </c>
      <c r="D290" s="19">
        <v>0</v>
      </c>
      <c r="E290" s="19">
        <v>0</v>
      </c>
      <c r="F290" s="19">
        <v>0</v>
      </c>
      <c r="G290" s="17"/>
      <c r="J290"/>
      <c r="K290"/>
    </row>
    <row r="291" spans="1:11" s="7" customFormat="1" x14ac:dyDescent="0.25">
      <c r="A291" s="18" t="s">
        <v>2528</v>
      </c>
      <c r="B291" s="18" t="s">
        <v>2529</v>
      </c>
      <c r="C291" s="19">
        <v>665000</v>
      </c>
      <c r="D291" s="19">
        <v>0</v>
      </c>
      <c r="E291" s="19">
        <v>0</v>
      </c>
      <c r="F291" s="19">
        <v>0</v>
      </c>
      <c r="G291" s="17"/>
      <c r="J291"/>
      <c r="K291"/>
    </row>
    <row r="292" spans="1:11" s="7" customFormat="1" x14ac:dyDescent="0.25">
      <c r="A292" s="18" t="s">
        <v>2530</v>
      </c>
      <c r="B292" s="18" t="s">
        <v>2531</v>
      </c>
      <c r="C292" s="19">
        <v>0</v>
      </c>
      <c r="D292" s="19">
        <v>0</v>
      </c>
      <c r="E292" s="19">
        <v>0</v>
      </c>
      <c r="F292" s="19">
        <v>0</v>
      </c>
      <c r="G292" s="17"/>
      <c r="J292"/>
      <c r="K292"/>
    </row>
    <row r="293" spans="1:11" s="7" customFormat="1" x14ac:dyDescent="0.25">
      <c r="A293" s="23" t="s">
        <v>2547</v>
      </c>
      <c r="B293" s="16" t="s">
        <v>2</v>
      </c>
      <c r="C293" s="20">
        <v>1109813.5</v>
      </c>
      <c r="D293" s="20">
        <v>0</v>
      </c>
      <c r="E293" s="20">
        <f>SUM(E283:E292)</f>
        <v>358500</v>
      </c>
      <c r="F293" s="20">
        <f>SUM(F283:F292)</f>
        <v>0</v>
      </c>
      <c r="G293" s="17"/>
      <c r="J293"/>
      <c r="K293"/>
    </row>
    <row r="294" spans="1:11" s="7" customFormat="1" x14ac:dyDescent="0.25">
      <c r="A294" s="16" t="s">
        <v>2</v>
      </c>
      <c r="B294" s="16" t="s">
        <v>2</v>
      </c>
      <c r="C294" s="16" t="s">
        <v>2</v>
      </c>
      <c r="D294" s="16" t="s">
        <v>2</v>
      </c>
      <c r="E294" s="16" t="s">
        <v>2</v>
      </c>
      <c r="F294" s="16" t="s">
        <v>2</v>
      </c>
      <c r="G294" s="17"/>
      <c r="J294"/>
      <c r="K294"/>
    </row>
    <row r="295" spans="1:11" s="7" customFormat="1" x14ac:dyDescent="0.25">
      <c r="A295" s="16" t="s">
        <v>2532</v>
      </c>
      <c r="B295" s="16" t="s">
        <v>2</v>
      </c>
      <c r="C295" s="17"/>
      <c r="D295" s="17"/>
      <c r="E295" s="17"/>
      <c r="F295" s="17"/>
      <c r="G295" s="17"/>
      <c r="J295"/>
      <c r="K295"/>
    </row>
    <row r="296" spans="1:11" s="7" customFormat="1" x14ac:dyDescent="0.25">
      <c r="A296" s="18" t="s">
        <v>2533</v>
      </c>
      <c r="B296" s="18" t="s">
        <v>2534</v>
      </c>
      <c r="C296" s="19">
        <v>0</v>
      </c>
      <c r="D296" s="19">
        <v>0</v>
      </c>
      <c r="E296" s="19">
        <v>0</v>
      </c>
      <c r="F296" s="19">
        <v>0</v>
      </c>
      <c r="G296" s="17"/>
      <c r="J296"/>
      <c r="K296"/>
    </row>
    <row r="297" spans="1:11" s="7" customFormat="1" x14ac:dyDescent="0.25">
      <c r="A297" s="18" t="s">
        <v>2535</v>
      </c>
      <c r="B297" s="18" t="s">
        <v>2536</v>
      </c>
      <c r="C297" s="19">
        <v>0</v>
      </c>
      <c r="D297" s="19">
        <v>0</v>
      </c>
      <c r="E297" s="19">
        <v>0</v>
      </c>
      <c r="F297" s="19">
        <v>0</v>
      </c>
      <c r="G297" s="17"/>
      <c r="J297"/>
      <c r="K297"/>
    </row>
    <row r="298" spans="1:11" s="7" customFormat="1" x14ac:dyDescent="0.25">
      <c r="A298" s="16" t="s">
        <v>2537</v>
      </c>
      <c r="B298" s="16" t="s">
        <v>2</v>
      </c>
      <c r="C298" s="20">
        <v>0</v>
      </c>
      <c r="D298" s="20">
        <v>0</v>
      </c>
      <c r="E298" s="20">
        <f>SUM(E296:E297)</f>
        <v>0</v>
      </c>
      <c r="F298" s="20">
        <f>SUM(F296:F297)</f>
        <v>0</v>
      </c>
      <c r="G298" s="17"/>
      <c r="J298"/>
      <c r="K298"/>
    </row>
    <row r="299" spans="1:11" s="7" customFormat="1" x14ac:dyDescent="0.25">
      <c r="A299" s="16" t="s">
        <v>2</v>
      </c>
      <c r="B299" s="16" t="s">
        <v>2</v>
      </c>
      <c r="C299" s="16" t="s">
        <v>2</v>
      </c>
      <c r="D299" s="16" t="s">
        <v>2</v>
      </c>
      <c r="E299" s="16" t="s">
        <v>2</v>
      </c>
      <c r="F299" s="16" t="s">
        <v>2</v>
      </c>
      <c r="G299" s="17"/>
      <c r="J299"/>
      <c r="K299"/>
    </row>
    <row r="300" spans="1:11" s="7" customFormat="1" x14ac:dyDescent="0.25">
      <c r="A300" s="18" t="s">
        <v>2538</v>
      </c>
      <c r="B300" s="18" t="s">
        <v>2539</v>
      </c>
      <c r="C300" s="19">
        <v>-30305.47</v>
      </c>
      <c r="D300" s="19">
        <v>192699.33</v>
      </c>
      <c r="E300" s="19">
        <v>75000</v>
      </c>
      <c r="F300" s="19">
        <v>0</v>
      </c>
      <c r="G300" s="17"/>
      <c r="J300"/>
      <c r="K300"/>
    </row>
    <row r="301" spans="1:11" s="7" customFormat="1" x14ac:dyDescent="0.25">
      <c r="A301" s="18" t="s">
        <v>2540</v>
      </c>
      <c r="B301" s="18" t="s">
        <v>2541</v>
      </c>
      <c r="C301" s="19">
        <v>16000</v>
      </c>
      <c r="D301" s="19">
        <v>0</v>
      </c>
      <c r="E301" s="19">
        <v>0</v>
      </c>
      <c r="F301" s="19">
        <v>0</v>
      </c>
      <c r="G301" s="17"/>
      <c r="J301"/>
      <c r="K301"/>
    </row>
    <row r="302" spans="1:11" s="7" customFormat="1" x14ac:dyDescent="0.25">
      <c r="A302" s="18" t="s">
        <v>2542</v>
      </c>
      <c r="B302" s="18" t="s">
        <v>704</v>
      </c>
      <c r="C302" s="19">
        <v>0</v>
      </c>
      <c r="D302" s="19">
        <v>3345.71</v>
      </c>
      <c r="E302" s="19">
        <v>0</v>
      </c>
      <c r="F302" s="19">
        <v>0</v>
      </c>
      <c r="G302" s="17"/>
      <c r="J302"/>
      <c r="K302"/>
    </row>
    <row r="303" spans="1:11" s="7" customFormat="1" x14ac:dyDescent="0.25">
      <c r="A303" s="16" t="s">
        <v>738</v>
      </c>
      <c r="B303" s="16" t="s">
        <v>2</v>
      </c>
      <c r="C303" s="20">
        <v>12754872.9</v>
      </c>
      <c r="D303" s="20">
        <v>5630348.7800000003</v>
      </c>
      <c r="E303" s="20">
        <f>SUM(E300:E302)+E298+E293+E280+E220+E176+E105+E98+E51+E18</f>
        <v>9666905.6799999997</v>
      </c>
      <c r="F303" s="20">
        <f>SUM(F300:F302)+F298+F293+F280+F220+F176+F105+F98+F51+F18</f>
        <v>0</v>
      </c>
      <c r="G303" s="17"/>
      <c r="J303"/>
      <c r="K303"/>
    </row>
    <row r="304" spans="1:11" x14ac:dyDescent="0.25">
      <c r="A304" s="1" t="s">
        <v>2548</v>
      </c>
      <c r="B304" s="1" t="s">
        <v>2</v>
      </c>
      <c r="C304" s="1" t="s">
        <v>2</v>
      </c>
      <c r="D304" s="1" t="s">
        <v>2</v>
      </c>
      <c r="E304" s="1" t="s">
        <v>2</v>
      </c>
      <c r="F304" s="1" t="s">
        <v>2</v>
      </c>
    </row>
    <row r="305" spans="1:6" ht="15" customHeight="1" x14ac:dyDescent="0.25">
      <c r="A305" s="1" t="s">
        <v>5</v>
      </c>
      <c r="B305" s="1" t="s">
        <v>2</v>
      </c>
    </row>
    <row r="306" spans="1:6" ht="15" customHeight="1" x14ac:dyDescent="0.25">
      <c r="A306" s="2" t="s">
        <v>6</v>
      </c>
      <c r="B306" s="2" t="s">
        <v>7</v>
      </c>
      <c r="C306" s="3">
        <v>1362.59</v>
      </c>
      <c r="D306" s="3">
        <v>309.47000000000003</v>
      </c>
      <c r="E306" s="3">
        <v>2000</v>
      </c>
      <c r="F306" s="5">
        <v>0</v>
      </c>
    </row>
    <row r="307" spans="1:6" ht="15" customHeight="1" x14ac:dyDescent="0.25">
      <c r="A307" s="2" t="s">
        <v>8</v>
      </c>
      <c r="B307" s="2" t="s">
        <v>9</v>
      </c>
      <c r="C307" s="3">
        <v>55555.91</v>
      </c>
      <c r="D307" s="3">
        <v>29277.599999999999</v>
      </c>
      <c r="E307" s="3">
        <v>58296</v>
      </c>
      <c r="F307" s="5">
        <v>0</v>
      </c>
    </row>
    <row r="308" spans="1:6" ht="15" customHeight="1" x14ac:dyDescent="0.25">
      <c r="A308" s="2" t="s">
        <v>10</v>
      </c>
      <c r="B308" s="2" t="s">
        <v>11</v>
      </c>
      <c r="C308" s="3">
        <v>4249.9399999999996</v>
      </c>
      <c r="D308" s="3">
        <v>2239.69</v>
      </c>
      <c r="E308" s="3">
        <v>4459.6400000000003</v>
      </c>
      <c r="F308" s="5">
        <v>0</v>
      </c>
    </row>
    <row r="309" spans="1:6" ht="15" customHeight="1" x14ac:dyDescent="0.25">
      <c r="A309" s="2" t="s">
        <v>12</v>
      </c>
      <c r="B309" s="2" t="s">
        <v>13</v>
      </c>
      <c r="C309" s="3">
        <v>81.59</v>
      </c>
      <c r="D309" s="3">
        <v>60.91</v>
      </c>
      <c r="E309" s="3">
        <v>85.7</v>
      </c>
      <c r="F309" s="5">
        <v>0</v>
      </c>
    </row>
    <row r="310" spans="1:6" x14ac:dyDescent="0.25">
      <c r="A310" s="2" t="s">
        <v>14</v>
      </c>
      <c r="B310" s="2" t="s">
        <v>15</v>
      </c>
      <c r="C310" s="3">
        <v>6154.65</v>
      </c>
      <c r="D310" s="3">
        <v>6914.48</v>
      </c>
      <c r="E310" s="3">
        <v>6914.48</v>
      </c>
      <c r="F310" s="5">
        <v>0</v>
      </c>
    </row>
    <row r="311" spans="1:6" ht="15" customHeight="1" x14ac:dyDescent="0.25">
      <c r="A311" s="2" t="s">
        <v>16</v>
      </c>
      <c r="B311" s="2" t="s">
        <v>17</v>
      </c>
      <c r="C311" s="3">
        <v>0</v>
      </c>
      <c r="D311" s="3">
        <v>0</v>
      </c>
      <c r="E311" s="3">
        <v>3000</v>
      </c>
      <c r="F311" s="5">
        <v>0</v>
      </c>
    </row>
    <row r="312" spans="1:6" ht="15" customHeight="1" x14ac:dyDescent="0.25">
      <c r="A312" s="2" t="s">
        <v>18</v>
      </c>
      <c r="B312" s="2" t="s">
        <v>19</v>
      </c>
      <c r="C312" s="3">
        <v>0</v>
      </c>
      <c r="D312" s="3">
        <v>0</v>
      </c>
      <c r="E312" s="3">
        <v>200</v>
      </c>
      <c r="F312" s="5">
        <v>0</v>
      </c>
    </row>
    <row r="313" spans="1:6" ht="15" customHeight="1" x14ac:dyDescent="0.25">
      <c r="A313" s="2" t="s">
        <v>20</v>
      </c>
      <c r="B313" s="2" t="s">
        <v>21</v>
      </c>
      <c r="C313" s="3">
        <v>908.32</v>
      </c>
      <c r="D313" s="3">
        <v>311</v>
      </c>
      <c r="E313" s="3">
        <v>5000</v>
      </c>
      <c r="F313" s="5">
        <v>0</v>
      </c>
    </row>
    <row r="314" spans="1:6" ht="15" customHeight="1" x14ac:dyDescent="0.25">
      <c r="A314" s="1" t="s">
        <v>22</v>
      </c>
      <c r="B314" s="1" t="s">
        <v>2</v>
      </c>
      <c r="C314" s="4">
        <v>68313</v>
      </c>
      <c r="D314" s="4">
        <v>39113.15</v>
      </c>
      <c r="E314" s="6">
        <f>SUM(E306:E313)</f>
        <v>79955.819999999992</v>
      </c>
      <c r="F314" s="6">
        <f>SUM(F306:F313)</f>
        <v>0</v>
      </c>
    </row>
    <row r="315" spans="1:6" x14ac:dyDescent="0.25">
      <c r="A315" s="1" t="s">
        <v>2</v>
      </c>
      <c r="B315" s="1" t="s">
        <v>2</v>
      </c>
      <c r="C315" s="1" t="s">
        <v>2</v>
      </c>
      <c r="D315" s="1" t="s">
        <v>2</v>
      </c>
      <c r="E315" s="1" t="s">
        <v>2</v>
      </c>
      <c r="F315" s="1" t="s">
        <v>2</v>
      </c>
    </row>
    <row r="316" spans="1:6" ht="15" customHeight="1" x14ac:dyDescent="0.25">
      <c r="A316" s="1" t="s">
        <v>23</v>
      </c>
      <c r="B316" s="1" t="s">
        <v>2</v>
      </c>
    </row>
    <row r="317" spans="1:6" ht="15" customHeight="1" x14ac:dyDescent="0.25">
      <c r="A317" s="2" t="s">
        <v>24</v>
      </c>
      <c r="B317" s="2" t="s">
        <v>25</v>
      </c>
      <c r="C317" s="3">
        <v>0</v>
      </c>
      <c r="D317" s="3">
        <v>0</v>
      </c>
      <c r="E317" s="3">
        <v>0</v>
      </c>
      <c r="F317" s="5">
        <v>0</v>
      </c>
    </row>
    <row r="318" spans="1:6" ht="15" customHeight="1" x14ac:dyDescent="0.25">
      <c r="A318" s="2" t="s">
        <v>26</v>
      </c>
      <c r="B318" s="2" t="s">
        <v>27</v>
      </c>
      <c r="C318" s="3">
        <v>137143.41</v>
      </c>
      <c r="D318" s="3">
        <v>67842.759999999995</v>
      </c>
      <c r="E318" s="3">
        <v>192584.08</v>
      </c>
      <c r="F318" s="5">
        <v>0</v>
      </c>
    </row>
    <row r="319" spans="1:6" ht="15" customHeight="1" x14ac:dyDescent="0.25">
      <c r="A319" s="2" t="s">
        <v>28</v>
      </c>
      <c r="B319" s="2" t="s">
        <v>29</v>
      </c>
      <c r="C319" s="3">
        <v>23814.3</v>
      </c>
      <c r="D319" s="3">
        <v>11566.52</v>
      </c>
      <c r="E319" s="3">
        <v>54909.78</v>
      </c>
      <c r="F319" s="5">
        <v>0</v>
      </c>
    </row>
    <row r="320" spans="1:6" ht="15" customHeight="1" x14ac:dyDescent="0.25">
      <c r="A320" s="2" t="s">
        <v>30</v>
      </c>
      <c r="B320" s="2" t="s">
        <v>31</v>
      </c>
      <c r="C320" s="3">
        <v>514.64</v>
      </c>
      <c r="D320" s="3">
        <v>224.8</v>
      </c>
      <c r="E320" s="3">
        <v>693.7</v>
      </c>
      <c r="F320" s="5">
        <v>0</v>
      </c>
    </row>
    <row r="321" spans="1:6" ht="15" customHeight="1" x14ac:dyDescent="0.25">
      <c r="A321" s="2" t="s">
        <v>32</v>
      </c>
      <c r="B321" s="2" t="s">
        <v>33</v>
      </c>
      <c r="C321" s="3">
        <v>17954.310000000001</v>
      </c>
      <c r="D321" s="3">
        <v>7926.35</v>
      </c>
      <c r="E321" s="3">
        <v>23416.18</v>
      </c>
      <c r="F321" s="5">
        <v>0</v>
      </c>
    </row>
    <row r="322" spans="1:6" ht="15" customHeight="1" x14ac:dyDescent="0.25">
      <c r="A322" s="2" t="s">
        <v>34</v>
      </c>
      <c r="B322" s="2" t="s">
        <v>11</v>
      </c>
      <c r="C322" s="3">
        <v>10353.52</v>
      </c>
      <c r="D322" s="3">
        <v>5124.08</v>
      </c>
      <c r="E322" s="3">
        <v>14732.68</v>
      </c>
      <c r="F322" s="5">
        <v>0</v>
      </c>
    </row>
    <row r="323" spans="1:6" ht="15" customHeight="1" x14ac:dyDescent="0.25">
      <c r="A323" s="2" t="s">
        <v>35</v>
      </c>
      <c r="B323" s="2" t="s">
        <v>13</v>
      </c>
      <c r="C323" s="3">
        <v>201.06</v>
      </c>
      <c r="D323" s="3">
        <v>145.07</v>
      </c>
      <c r="E323" s="3">
        <v>283.10000000000002</v>
      </c>
      <c r="F323" s="5">
        <v>0</v>
      </c>
    </row>
    <row r="324" spans="1:6" ht="15" customHeight="1" x14ac:dyDescent="0.25">
      <c r="A324" s="2" t="s">
        <v>36</v>
      </c>
      <c r="B324" s="2" t="s">
        <v>37</v>
      </c>
      <c r="C324" s="3">
        <v>3039.06</v>
      </c>
      <c r="D324" s="3">
        <v>321.20999999999998</v>
      </c>
      <c r="E324" s="3">
        <v>4000</v>
      </c>
      <c r="F324" s="5">
        <v>0</v>
      </c>
    </row>
    <row r="325" spans="1:6" ht="15" customHeight="1" x14ac:dyDescent="0.25">
      <c r="A325" s="2" t="s">
        <v>38</v>
      </c>
      <c r="B325" s="2" t="s">
        <v>39</v>
      </c>
      <c r="C325" s="3">
        <v>42.4</v>
      </c>
      <c r="D325" s="3">
        <v>42.96</v>
      </c>
      <c r="E325" s="3">
        <v>3800</v>
      </c>
      <c r="F325" s="5">
        <v>0</v>
      </c>
    </row>
    <row r="326" spans="1:6" x14ac:dyDescent="0.25">
      <c r="A326" s="2" t="s">
        <v>40</v>
      </c>
      <c r="B326" s="2" t="s">
        <v>41</v>
      </c>
      <c r="C326" s="3">
        <v>7206.84</v>
      </c>
      <c r="D326" s="3">
        <v>6459.61</v>
      </c>
      <c r="E326" s="3">
        <v>6459.61</v>
      </c>
      <c r="F326" s="5">
        <v>0</v>
      </c>
    </row>
    <row r="327" spans="1:6" ht="15" customHeight="1" x14ac:dyDescent="0.25">
      <c r="A327" s="2" t="s">
        <v>42</v>
      </c>
      <c r="B327" s="2" t="s">
        <v>43</v>
      </c>
      <c r="C327" s="3">
        <v>4490.8500000000004</v>
      </c>
      <c r="D327" s="3">
        <v>3901.26</v>
      </c>
      <c r="E327" s="3">
        <v>3901.26</v>
      </c>
      <c r="F327" s="5">
        <v>0</v>
      </c>
    </row>
    <row r="328" spans="1:6" ht="15" customHeight="1" x14ac:dyDescent="0.25">
      <c r="A328" s="2" t="s">
        <v>44</v>
      </c>
      <c r="B328" s="2" t="s">
        <v>45</v>
      </c>
      <c r="C328" s="3">
        <v>147204</v>
      </c>
      <c r="D328" s="3">
        <v>54326</v>
      </c>
      <c r="E328" s="3">
        <v>145000</v>
      </c>
      <c r="F328" s="5">
        <v>0</v>
      </c>
    </row>
    <row r="329" spans="1:6" ht="15" customHeight="1" x14ac:dyDescent="0.25">
      <c r="A329" s="2" t="s">
        <v>46</v>
      </c>
      <c r="B329" s="2" t="s">
        <v>47</v>
      </c>
      <c r="C329" s="3">
        <v>99480</v>
      </c>
      <c r="D329" s="3">
        <v>34425</v>
      </c>
      <c r="E329" s="3">
        <v>108000</v>
      </c>
      <c r="F329" s="5">
        <v>0</v>
      </c>
    </row>
    <row r="330" spans="1:6" ht="15" customHeight="1" x14ac:dyDescent="0.25">
      <c r="A330" s="2" t="s">
        <v>48</v>
      </c>
      <c r="B330" s="2" t="s">
        <v>49</v>
      </c>
      <c r="C330" s="3">
        <v>16161.82</v>
      </c>
      <c r="D330" s="3">
        <v>3870.63</v>
      </c>
      <c r="E330" s="3">
        <v>11000</v>
      </c>
      <c r="F330" s="5">
        <v>0</v>
      </c>
    </row>
    <row r="331" spans="1:6" ht="15" customHeight="1" x14ac:dyDescent="0.25">
      <c r="A331" s="2" t="s">
        <v>50</v>
      </c>
      <c r="B331" s="2" t="s">
        <v>51</v>
      </c>
      <c r="C331" s="3">
        <v>9993.7999999999993</v>
      </c>
      <c r="D331" s="3">
        <v>3500</v>
      </c>
      <c r="E331" s="3">
        <v>5500</v>
      </c>
      <c r="F331" s="5">
        <v>0</v>
      </c>
    </row>
    <row r="332" spans="1:6" ht="15" customHeight="1" x14ac:dyDescent="0.25">
      <c r="A332" s="2" t="s">
        <v>52</v>
      </c>
      <c r="B332" s="2" t="s">
        <v>53</v>
      </c>
      <c r="C332" s="3">
        <v>3132.02</v>
      </c>
      <c r="D332" s="3">
        <v>1113.7</v>
      </c>
      <c r="E332" s="3">
        <v>3200</v>
      </c>
      <c r="F332" s="5">
        <v>0</v>
      </c>
    </row>
    <row r="333" spans="1:6" ht="15" customHeight="1" x14ac:dyDescent="0.25">
      <c r="A333" s="2" t="s">
        <v>54</v>
      </c>
      <c r="B333" s="2" t="s">
        <v>55</v>
      </c>
      <c r="C333" s="3">
        <v>26566.75</v>
      </c>
      <c r="D333" s="3">
        <v>11531</v>
      </c>
      <c r="E333" s="3">
        <v>40000</v>
      </c>
      <c r="F333" s="5">
        <v>0</v>
      </c>
    </row>
    <row r="334" spans="1:6" ht="15" customHeight="1" x14ac:dyDescent="0.25">
      <c r="A334" s="2" t="s">
        <v>56</v>
      </c>
      <c r="B334" s="2" t="s">
        <v>57</v>
      </c>
      <c r="C334" s="3">
        <v>635.45000000000005</v>
      </c>
      <c r="D334" s="3">
        <v>211.98</v>
      </c>
      <c r="E334" s="3">
        <v>660</v>
      </c>
      <c r="F334" s="5">
        <v>0</v>
      </c>
    </row>
    <row r="335" spans="1:6" ht="15" customHeight="1" x14ac:dyDescent="0.25">
      <c r="A335" s="2" t="s">
        <v>58</v>
      </c>
      <c r="B335" s="2" t="s">
        <v>59</v>
      </c>
      <c r="C335" s="3">
        <v>2092.85</v>
      </c>
      <c r="D335" s="3">
        <v>776.24</v>
      </c>
      <c r="E335" s="3">
        <v>2500</v>
      </c>
      <c r="F335" s="5">
        <v>0</v>
      </c>
    </row>
    <row r="336" spans="1:6" ht="15" customHeight="1" x14ac:dyDescent="0.25">
      <c r="A336" s="2" t="s">
        <v>60</v>
      </c>
      <c r="B336" s="2" t="s">
        <v>17</v>
      </c>
      <c r="C336" s="3">
        <v>0</v>
      </c>
      <c r="D336" s="3">
        <v>0</v>
      </c>
      <c r="E336" s="3">
        <v>2000</v>
      </c>
      <c r="F336" s="5">
        <v>0</v>
      </c>
    </row>
    <row r="337" spans="1:6" ht="15" customHeight="1" x14ac:dyDescent="0.25">
      <c r="A337" s="2" t="s">
        <v>61</v>
      </c>
      <c r="B337" s="2" t="s">
        <v>62</v>
      </c>
      <c r="C337" s="3">
        <v>3295.27</v>
      </c>
      <c r="D337" s="3">
        <v>1543.75</v>
      </c>
      <c r="E337" s="3">
        <v>3900</v>
      </c>
      <c r="F337" s="5">
        <v>0</v>
      </c>
    </row>
    <row r="338" spans="1:6" ht="15" customHeight="1" x14ac:dyDescent="0.25">
      <c r="A338" s="2" t="s">
        <v>63</v>
      </c>
      <c r="B338" s="2" t="s">
        <v>64</v>
      </c>
      <c r="C338" s="3">
        <v>4359.79</v>
      </c>
      <c r="D338" s="3">
        <v>313.14</v>
      </c>
      <c r="E338" s="3">
        <v>3000</v>
      </c>
      <c r="F338" s="5">
        <v>0</v>
      </c>
    </row>
    <row r="339" spans="1:6" ht="15" customHeight="1" x14ac:dyDescent="0.25">
      <c r="A339" s="2" t="s">
        <v>65</v>
      </c>
      <c r="B339" s="2" t="s">
        <v>66</v>
      </c>
      <c r="C339" s="3">
        <v>0</v>
      </c>
      <c r="D339" s="3">
        <v>0</v>
      </c>
      <c r="E339" s="3">
        <v>3000</v>
      </c>
      <c r="F339" s="5">
        <v>0</v>
      </c>
    </row>
    <row r="340" spans="1:6" x14ac:dyDescent="0.25">
      <c r="A340" s="2" t="s">
        <v>67</v>
      </c>
      <c r="B340" s="2" t="s">
        <v>68</v>
      </c>
      <c r="C340" s="3">
        <v>259.5</v>
      </c>
      <c r="D340" s="3">
        <v>310.72000000000003</v>
      </c>
      <c r="E340" s="3">
        <v>1000</v>
      </c>
      <c r="F340" s="5">
        <v>0</v>
      </c>
    </row>
    <row r="341" spans="1:6" ht="15" customHeight="1" x14ac:dyDescent="0.25">
      <c r="A341" s="2" t="s">
        <v>69</v>
      </c>
      <c r="B341" s="2" t="s">
        <v>70</v>
      </c>
      <c r="C341" s="3">
        <v>325</v>
      </c>
      <c r="D341" s="3">
        <v>400</v>
      </c>
      <c r="E341" s="3">
        <v>400</v>
      </c>
      <c r="F341" s="5">
        <v>0</v>
      </c>
    </row>
    <row r="342" spans="1:6" ht="15" customHeight="1" x14ac:dyDescent="0.25">
      <c r="A342" s="2" t="s">
        <v>71</v>
      </c>
      <c r="B342" s="2" t="s">
        <v>72</v>
      </c>
      <c r="C342" s="3">
        <v>627.78</v>
      </c>
      <c r="D342" s="3">
        <v>34.82</v>
      </c>
      <c r="E342" s="3">
        <v>1000</v>
      </c>
      <c r="F342" s="5">
        <v>0</v>
      </c>
    </row>
    <row r="343" spans="1:6" ht="15" customHeight="1" x14ac:dyDescent="0.25">
      <c r="A343" s="1" t="s">
        <v>73</v>
      </c>
      <c r="B343" s="1" t="s">
        <v>2</v>
      </c>
      <c r="C343" s="4">
        <v>518894.42</v>
      </c>
      <c r="D343" s="4">
        <v>215911.6</v>
      </c>
      <c r="E343" s="6">
        <f>SUM(E317:E342)</f>
        <v>634940.3899999999</v>
      </c>
      <c r="F343" s="6">
        <f>SUM(F317:F342)</f>
        <v>0</v>
      </c>
    </row>
    <row r="344" spans="1:6" x14ac:dyDescent="0.25">
      <c r="A344" s="1" t="s">
        <v>2</v>
      </c>
      <c r="B344" s="1" t="s">
        <v>2</v>
      </c>
      <c r="C344" s="1" t="s">
        <v>2</v>
      </c>
      <c r="D344" s="1" t="s">
        <v>2</v>
      </c>
      <c r="E344" s="1" t="s">
        <v>2</v>
      </c>
      <c r="F344" s="1" t="s">
        <v>2</v>
      </c>
    </row>
    <row r="345" spans="1:6" x14ac:dyDescent="0.25">
      <c r="A345" s="1" t="s">
        <v>74</v>
      </c>
      <c r="B345" s="1" t="s">
        <v>2</v>
      </c>
    </row>
    <row r="346" spans="1:6" ht="15" customHeight="1" x14ac:dyDescent="0.25">
      <c r="A346" s="2" t="s">
        <v>75</v>
      </c>
      <c r="B346" s="2" t="s">
        <v>76</v>
      </c>
      <c r="C346" s="3">
        <v>144128.06</v>
      </c>
      <c r="D346" s="3">
        <v>66459.25</v>
      </c>
      <c r="E346" s="3">
        <v>154024.78</v>
      </c>
      <c r="F346" s="5">
        <v>0</v>
      </c>
    </row>
    <row r="347" spans="1:6" ht="15" customHeight="1" x14ac:dyDescent="0.25">
      <c r="A347" s="2" t="s">
        <v>77</v>
      </c>
      <c r="B347" s="2" t="s">
        <v>78</v>
      </c>
      <c r="C347" s="3">
        <v>29109</v>
      </c>
      <c r="D347" s="3">
        <v>14975</v>
      </c>
      <c r="E347" s="3">
        <v>32760</v>
      </c>
      <c r="F347" s="5">
        <v>0</v>
      </c>
    </row>
    <row r="348" spans="1:6" ht="15" customHeight="1" x14ac:dyDescent="0.25">
      <c r="A348" s="2" t="s">
        <v>79</v>
      </c>
      <c r="B348" s="2" t="s">
        <v>29</v>
      </c>
      <c r="C348" s="3">
        <v>28576.01</v>
      </c>
      <c r="D348" s="3">
        <v>13769.95</v>
      </c>
      <c r="E348" s="3">
        <v>30409.39</v>
      </c>
      <c r="F348" s="5">
        <v>0</v>
      </c>
    </row>
    <row r="349" spans="1:6" ht="15" customHeight="1" x14ac:dyDescent="0.25">
      <c r="A349" s="2" t="s">
        <v>80</v>
      </c>
      <c r="B349" s="2" t="s">
        <v>81</v>
      </c>
      <c r="C349" s="3">
        <v>256.43</v>
      </c>
      <c r="D349" s="3">
        <v>107.6</v>
      </c>
      <c r="E349" s="3">
        <v>277.48</v>
      </c>
      <c r="F349" s="5">
        <v>0</v>
      </c>
    </row>
    <row r="350" spans="1:6" ht="15" customHeight="1" x14ac:dyDescent="0.25">
      <c r="A350" s="2" t="s">
        <v>82</v>
      </c>
      <c r="B350" s="2" t="s">
        <v>11</v>
      </c>
      <c r="C350" s="3">
        <v>13488.9</v>
      </c>
      <c r="D350" s="3">
        <v>6179.51</v>
      </c>
      <c r="E350" s="3">
        <v>13593.1</v>
      </c>
      <c r="F350" s="5">
        <v>0</v>
      </c>
    </row>
    <row r="351" spans="1:6" ht="15" customHeight="1" x14ac:dyDescent="0.25">
      <c r="A351" s="2" t="s">
        <v>83</v>
      </c>
      <c r="B351" s="2" t="s">
        <v>33</v>
      </c>
      <c r="C351" s="3">
        <v>19911.939999999999</v>
      </c>
      <c r="D351" s="3">
        <v>8462.0499999999993</v>
      </c>
      <c r="E351" s="3">
        <v>18526.05</v>
      </c>
      <c r="F351" s="5">
        <v>0</v>
      </c>
    </row>
    <row r="352" spans="1:6" ht="15" customHeight="1" x14ac:dyDescent="0.25">
      <c r="A352" s="2" t="s">
        <v>84</v>
      </c>
      <c r="B352" s="2" t="s">
        <v>85</v>
      </c>
      <c r="C352" s="3">
        <v>0</v>
      </c>
      <c r="D352" s="3">
        <v>0</v>
      </c>
      <c r="E352" s="3">
        <v>0</v>
      </c>
      <c r="F352" s="5">
        <v>0</v>
      </c>
    </row>
    <row r="353" spans="1:6" ht="15" customHeight="1" x14ac:dyDescent="0.25">
      <c r="A353" s="2" t="s">
        <v>86</v>
      </c>
      <c r="B353" s="2" t="s">
        <v>13</v>
      </c>
      <c r="C353" s="3">
        <v>252.08</v>
      </c>
      <c r="D353" s="3">
        <v>173.91</v>
      </c>
      <c r="E353" s="3">
        <v>274.57</v>
      </c>
      <c r="F353" s="5">
        <v>0</v>
      </c>
    </row>
    <row r="354" spans="1:6" ht="15" customHeight="1" x14ac:dyDescent="0.25">
      <c r="A354" s="2" t="s">
        <v>87</v>
      </c>
      <c r="B354" s="2" t="s">
        <v>88</v>
      </c>
      <c r="C354" s="3">
        <v>61.61</v>
      </c>
      <c r="D354" s="3">
        <v>95.55</v>
      </c>
      <c r="E354" s="3">
        <v>400</v>
      </c>
      <c r="F354" s="5">
        <v>0</v>
      </c>
    </row>
    <row r="355" spans="1:6" ht="15" customHeight="1" x14ac:dyDescent="0.25">
      <c r="A355" s="2" t="s">
        <v>89</v>
      </c>
      <c r="B355" s="2" t="s">
        <v>90</v>
      </c>
      <c r="C355" s="3">
        <v>0</v>
      </c>
      <c r="D355" s="3">
        <v>0</v>
      </c>
      <c r="E355" s="3">
        <v>300</v>
      </c>
      <c r="F355" s="5">
        <v>0</v>
      </c>
    </row>
    <row r="356" spans="1:6" ht="15" customHeight="1" x14ac:dyDescent="0.25">
      <c r="A356" s="2" t="s">
        <v>91</v>
      </c>
      <c r="B356" s="2" t="s">
        <v>92</v>
      </c>
      <c r="C356" s="3">
        <v>0</v>
      </c>
      <c r="D356" s="3">
        <v>41.43</v>
      </c>
      <c r="E356" s="3">
        <v>41.43</v>
      </c>
      <c r="F356" s="5">
        <v>0</v>
      </c>
    </row>
    <row r="357" spans="1:6" x14ac:dyDescent="0.25">
      <c r="A357" s="2" t="s">
        <v>93</v>
      </c>
      <c r="B357" s="2" t="s">
        <v>41</v>
      </c>
      <c r="C357" s="3">
        <v>3163.74</v>
      </c>
      <c r="D357" s="3">
        <v>6344.84</v>
      </c>
      <c r="E357" s="3">
        <v>6344.84</v>
      </c>
      <c r="F357" s="5">
        <v>0</v>
      </c>
    </row>
    <row r="358" spans="1:6" ht="15" customHeight="1" x14ac:dyDescent="0.25">
      <c r="A358" s="2" t="s">
        <v>94</v>
      </c>
      <c r="B358" s="2" t="s">
        <v>95</v>
      </c>
      <c r="C358" s="3">
        <v>5614.96</v>
      </c>
      <c r="D358" s="3">
        <v>9301.82</v>
      </c>
      <c r="E358" s="3">
        <v>15000</v>
      </c>
      <c r="F358" s="5">
        <v>0</v>
      </c>
    </row>
    <row r="359" spans="1:6" ht="15" customHeight="1" x14ac:dyDescent="0.25">
      <c r="A359" s="2" t="s">
        <v>96</v>
      </c>
      <c r="B359" s="2" t="s">
        <v>97</v>
      </c>
      <c r="C359" s="3">
        <v>25200</v>
      </c>
      <c r="D359" s="3">
        <v>8800</v>
      </c>
      <c r="E359" s="3">
        <v>25000</v>
      </c>
      <c r="F359" s="5">
        <v>0</v>
      </c>
    </row>
    <row r="360" spans="1:6" ht="15" customHeight="1" x14ac:dyDescent="0.25">
      <c r="A360" s="2" t="s">
        <v>98</v>
      </c>
      <c r="B360" s="2" t="s">
        <v>99</v>
      </c>
      <c r="C360" s="3">
        <v>826.21</v>
      </c>
      <c r="D360" s="3">
        <v>275.48</v>
      </c>
      <c r="E360" s="3">
        <v>900</v>
      </c>
      <c r="F360" s="5">
        <v>0</v>
      </c>
    </row>
    <row r="361" spans="1:6" ht="15" customHeight="1" x14ac:dyDescent="0.25">
      <c r="A361" s="2" t="s">
        <v>100</v>
      </c>
      <c r="B361" s="2" t="s">
        <v>17</v>
      </c>
      <c r="C361" s="3">
        <v>0</v>
      </c>
      <c r="D361" s="3">
        <v>179.47</v>
      </c>
      <c r="E361" s="3">
        <v>3000</v>
      </c>
      <c r="F361" s="5">
        <v>0</v>
      </c>
    </row>
    <row r="362" spans="1:6" ht="15" customHeight="1" x14ac:dyDescent="0.25">
      <c r="A362" s="2" t="s">
        <v>101</v>
      </c>
      <c r="B362" s="2" t="s">
        <v>64</v>
      </c>
      <c r="C362" s="3">
        <v>2528.29</v>
      </c>
      <c r="D362" s="3">
        <v>0</v>
      </c>
      <c r="E362" s="3">
        <v>1600</v>
      </c>
      <c r="F362" s="5">
        <v>0</v>
      </c>
    </row>
    <row r="363" spans="1:6" ht="15" customHeight="1" x14ac:dyDescent="0.25">
      <c r="A363" s="2" t="s">
        <v>102</v>
      </c>
      <c r="B363" s="2" t="s">
        <v>66</v>
      </c>
      <c r="C363" s="3">
        <v>599</v>
      </c>
      <c r="D363" s="3">
        <v>136</v>
      </c>
      <c r="E363" s="3">
        <v>2500</v>
      </c>
      <c r="F363" s="5">
        <v>0</v>
      </c>
    </row>
    <row r="364" spans="1:6" x14ac:dyDescent="0.25">
      <c r="A364" s="2" t="s">
        <v>103</v>
      </c>
      <c r="B364" s="2" t="s">
        <v>104</v>
      </c>
      <c r="C364" s="3">
        <v>0</v>
      </c>
      <c r="D364" s="3">
        <v>0</v>
      </c>
      <c r="E364" s="3">
        <v>1200</v>
      </c>
      <c r="F364" s="5">
        <v>0</v>
      </c>
    </row>
    <row r="365" spans="1:6" ht="15" customHeight="1" x14ac:dyDescent="0.25">
      <c r="A365" s="1" t="s">
        <v>105</v>
      </c>
      <c r="B365" s="1" t="s">
        <v>2</v>
      </c>
      <c r="C365" s="4">
        <v>273716.23</v>
      </c>
      <c r="D365" s="4">
        <v>135301.85999999999</v>
      </c>
      <c r="E365" s="6">
        <f>SUM(E346:E364)</f>
        <v>306151.64</v>
      </c>
      <c r="F365" s="6">
        <f>SUM(F346:F364)</f>
        <v>0</v>
      </c>
    </row>
    <row r="366" spans="1:6" x14ac:dyDescent="0.25">
      <c r="A366" s="1" t="s">
        <v>2</v>
      </c>
      <c r="B366" s="1" t="s">
        <v>2</v>
      </c>
      <c r="C366" s="1" t="s">
        <v>2</v>
      </c>
      <c r="D366" s="1" t="s">
        <v>2</v>
      </c>
      <c r="E366" s="1" t="s">
        <v>2</v>
      </c>
      <c r="F366" s="5"/>
    </row>
    <row r="367" spans="1:6" ht="15" customHeight="1" x14ac:dyDescent="0.25">
      <c r="A367" s="1" t="s">
        <v>106</v>
      </c>
      <c r="B367" s="1" t="s">
        <v>2</v>
      </c>
    </row>
    <row r="368" spans="1:6" ht="15" customHeight="1" x14ac:dyDescent="0.25">
      <c r="A368" s="2" t="s">
        <v>107</v>
      </c>
      <c r="B368" s="2" t="s">
        <v>108</v>
      </c>
      <c r="C368" s="3">
        <v>140579.64000000001</v>
      </c>
      <c r="D368" s="3">
        <v>68696.37</v>
      </c>
      <c r="E368" s="3">
        <v>155543.07</v>
      </c>
      <c r="F368" s="5">
        <v>0</v>
      </c>
    </row>
    <row r="369" spans="1:6" ht="15" customHeight="1" x14ac:dyDescent="0.25">
      <c r="A369" s="2" t="s">
        <v>109</v>
      </c>
      <c r="B369" s="2" t="s">
        <v>29</v>
      </c>
      <c r="C369" s="3">
        <v>40703.4</v>
      </c>
      <c r="D369" s="3">
        <v>19148.93</v>
      </c>
      <c r="E369" s="3">
        <v>46529.84</v>
      </c>
      <c r="F369" s="5">
        <v>0</v>
      </c>
    </row>
    <row r="370" spans="1:6" ht="15" customHeight="1" x14ac:dyDescent="0.25">
      <c r="A370" s="2" t="s">
        <v>110</v>
      </c>
      <c r="B370" s="2" t="s">
        <v>31</v>
      </c>
      <c r="C370" s="3">
        <v>529.29</v>
      </c>
      <c r="D370" s="3">
        <v>213.1</v>
      </c>
      <c r="E370" s="3">
        <v>554.96</v>
      </c>
      <c r="F370" s="5">
        <v>0</v>
      </c>
    </row>
    <row r="371" spans="1:6" ht="15" customHeight="1" x14ac:dyDescent="0.25">
      <c r="A371" s="2" t="s">
        <v>111</v>
      </c>
      <c r="B371" s="2" t="s">
        <v>33</v>
      </c>
      <c r="C371" s="3">
        <v>21500.74</v>
      </c>
      <c r="D371" s="3">
        <v>9416.85</v>
      </c>
      <c r="E371" s="3">
        <v>20442.73</v>
      </c>
      <c r="F371" s="5">
        <v>0</v>
      </c>
    </row>
    <row r="372" spans="1:6" x14ac:dyDescent="0.25">
      <c r="A372" s="2" t="s">
        <v>112</v>
      </c>
      <c r="B372" s="2" t="s">
        <v>113</v>
      </c>
      <c r="C372" s="3">
        <v>10724.76</v>
      </c>
      <c r="D372" s="3">
        <v>5174.9399999999996</v>
      </c>
      <c r="E372" s="3">
        <v>11899.04</v>
      </c>
      <c r="F372" s="5">
        <v>0</v>
      </c>
    </row>
    <row r="373" spans="1:6" ht="15" customHeight="1" x14ac:dyDescent="0.25">
      <c r="A373" s="2" t="s">
        <v>114</v>
      </c>
      <c r="B373" s="2" t="s">
        <v>13</v>
      </c>
      <c r="C373" s="3">
        <v>213.37</v>
      </c>
      <c r="D373" s="3">
        <v>146.96</v>
      </c>
      <c r="E373" s="3">
        <v>228.65</v>
      </c>
      <c r="F373" s="5">
        <v>0</v>
      </c>
    </row>
    <row r="374" spans="1:6" ht="15" customHeight="1" x14ac:dyDescent="0.25">
      <c r="A374" s="2" t="s">
        <v>115</v>
      </c>
      <c r="B374" s="2" t="s">
        <v>37</v>
      </c>
      <c r="C374" s="3">
        <v>244.52</v>
      </c>
      <c r="D374" s="3">
        <v>138.16999999999999</v>
      </c>
      <c r="E374" s="3">
        <v>750</v>
      </c>
      <c r="F374" s="5">
        <v>0</v>
      </c>
    </row>
    <row r="375" spans="1:6" ht="15" customHeight="1" x14ac:dyDescent="0.25">
      <c r="A375" s="2" t="s">
        <v>116</v>
      </c>
      <c r="B375" s="2" t="s">
        <v>39</v>
      </c>
      <c r="C375" s="3">
        <v>0</v>
      </c>
      <c r="D375" s="3">
        <v>0</v>
      </c>
      <c r="E375" s="3">
        <v>500</v>
      </c>
      <c r="F375" s="5">
        <v>0</v>
      </c>
    </row>
    <row r="376" spans="1:6" ht="15" customHeight="1" x14ac:dyDescent="0.25">
      <c r="A376" s="2" t="s">
        <v>117</v>
      </c>
      <c r="B376" s="2" t="s">
        <v>92</v>
      </c>
      <c r="C376" s="3">
        <v>0</v>
      </c>
      <c r="D376" s="3">
        <v>0</v>
      </c>
      <c r="E376" s="3">
        <v>0</v>
      </c>
      <c r="F376" s="5">
        <v>0</v>
      </c>
    </row>
    <row r="377" spans="1:6" x14ac:dyDescent="0.25">
      <c r="A377" s="2" t="s">
        <v>118</v>
      </c>
      <c r="B377" s="2" t="s">
        <v>119</v>
      </c>
      <c r="C377" s="3">
        <v>12658.64</v>
      </c>
      <c r="D377" s="3">
        <v>10252.23</v>
      </c>
      <c r="E377" s="3">
        <v>10252.23</v>
      </c>
      <c r="F377" s="5">
        <v>0</v>
      </c>
    </row>
    <row r="378" spans="1:6" ht="15" customHeight="1" x14ac:dyDescent="0.25">
      <c r="A378" s="2" t="s">
        <v>120</v>
      </c>
      <c r="B378" s="2" t="s">
        <v>17</v>
      </c>
      <c r="C378" s="3">
        <v>551.46</v>
      </c>
      <c r="D378" s="3">
        <v>356.5</v>
      </c>
      <c r="E378" s="3">
        <v>1200</v>
      </c>
      <c r="F378" s="5">
        <v>0</v>
      </c>
    </row>
    <row r="379" spans="1:6" ht="15" customHeight="1" x14ac:dyDescent="0.25">
      <c r="A379" s="2" t="s">
        <v>121</v>
      </c>
      <c r="B379" s="2" t="s">
        <v>64</v>
      </c>
      <c r="C379" s="3">
        <v>791</v>
      </c>
      <c r="D379" s="3">
        <v>316</v>
      </c>
      <c r="E379" s="3">
        <v>750</v>
      </c>
      <c r="F379" s="5">
        <v>0</v>
      </c>
    </row>
    <row r="380" spans="1:6" ht="15" customHeight="1" x14ac:dyDescent="0.25">
      <c r="A380" s="2" t="s">
        <v>122</v>
      </c>
      <c r="B380" s="2" t="s">
        <v>66</v>
      </c>
      <c r="C380" s="3">
        <v>985</v>
      </c>
      <c r="D380" s="3">
        <v>1541.19</v>
      </c>
      <c r="E380" s="3">
        <v>3000</v>
      </c>
      <c r="F380" s="5">
        <v>0</v>
      </c>
    </row>
    <row r="381" spans="1:6" ht="15" customHeight="1" x14ac:dyDescent="0.25">
      <c r="A381" s="1" t="s">
        <v>123</v>
      </c>
      <c r="B381" s="1" t="s">
        <v>2</v>
      </c>
      <c r="C381" s="4">
        <v>229481.82</v>
      </c>
      <c r="D381" s="4">
        <v>115401.24</v>
      </c>
      <c r="E381" s="6">
        <f>SUM(E368:E380)</f>
        <v>251650.52000000002</v>
      </c>
      <c r="F381" s="6">
        <f>SUM(F368:F380)</f>
        <v>0</v>
      </c>
    </row>
    <row r="382" spans="1:6" x14ac:dyDescent="0.25">
      <c r="A382" s="1" t="s">
        <v>2</v>
      </c>
      <c r="B382" s="1" t="s">
        <v>2</v>
      </c>
      <c r="C382" s="1" t="s">
        <v>2</v>
      </c>
      <c r="D382" s="1" t="s">
        <v>2</v>
      </c>
      <c r="E382" s="1" t="s">
        <v>2</v>
      </c>
      <c r="F382" s="1" t="s">
        <v>2</v>
      </c>
    </row>
    <row r="383" spans="1:6" ht="15" customHeight="1" x14ac:dyDescent="0.25">
      <c r="A383" s="1" t="s">
        <v>124</v>
      </c>
      <c r="B383" s="1" t="s">
        <v>2</v>
      </c>
    </row>
    <row r="384" spans="1:6" ht="15" customHeight="1" x14ac:dyDescent="0.25">
      <c r="A384" s="2" t="s">
        <v>125</v>
      </c>
      <c r="B384" s="2" t="s">
        <v>108</v>
      </c>
      <c r="C384" s="3">
        <v>306422.73</v>
      </c>
      <c r="D384" s="3">
        <v>158112.95000000001</v>
      </c>
      <c r="E384" s="3">
        <v>313025.73</v>
      </c>
      <c r="F384" s="5">
        <v>0</v>
      </c>
    </row>
    <row r="385" spans="1:6" ht="15" customHeight="1" x14ac:dyDescent="0.25">
      <c r="A385" s="2" t="s">
        <v>126</v>
      </c>
      <c r="B385" s="2" t="s">
        <v>29</v>
      </c>
      <c r="C385" s="3">
        <v>49038.39</v>
      </c>
      <c r="D385" s="3">
        <v>29284.7</v>
      </c>
      <c r="E385" s="3">
        <v>66248.53</v>
      </c>
      <c r="F385" s="5">
        <v>0</v>
      </c>
    </row>
    <row r="386" spans="1:6" ht="15" customHeight="1" x14ac:dyDescent="0.25">
      <c r="A386" s="2" t="s">
        <v>127</v>
      </c>
      <c r="B386" s="2" t="s">
        <v>128</v>
      </c>
      <c r="C386" s="3">
        <v>928.95</v>
      </c>
      <c r="D386" s="3">
        <v>370.03</v>
      </c>
      <c r="E386" s="3">
        <v>1026.68</v>
      </c>
      <c r="F386" s="5">
        <v>0</v>
      </c>
    </row>
    <row r="387" spans="1:6" ht="15" customHeight="1" x14ac:dyDescent="0.25">
      <c r="A387" s="2" t="s">
        <v>129</v>
      </c>
      <c r="B387" s="2" t="s">
        <v>33</v>
      </c>
      <c r="C387" s="3">
        <v>41467.99</v>
      </c>
      <c r="D387" s="3">
        <v>17349.54</v>
      </c>
      <c r="E387" s="3">
        <v>39043.050000000003</v>
      </c>
      <c r="F387" s="5">
        <v>0</v>
      </c>
    </row>
    <row r="388" spans="1:6" x14ac:dyDescent="0.25">
      <c r="A388" s="2" t="s">
        <v>130</v>
      </c>
      <c r="B388" s="2" t="s">
        <v>113</v>
      </c>
      <c r="C388" s="3">
        <v>22752.080000000002</v>
      </c>
      <c r="D388" s="3">
        <v>11955.2</v>
      </c>
      <c r="E388" s="3">
        <v>23946.47</v>
      </c>
      <c r="F388" s="5">
        <v>0</v>
      </c>
    </row>
    <row r="389" spans="1:6" ht="15" customHeight="1" x14ac:dyDescent="0.25">
      <c r="A389" s="2" t="s">
        <v>131</v>
      </c>
      <c r="B389" s="2" t="s">
        <v>13</v>
      </c>
      <c r="C389" s="3">
        <v>442.56</v>
      </c>
      <c r="D389" s="3">
        <v>339.05</v>
      </c>
      <c r="E389" s="3">
        <v>460.15</v>
      </c>
      <c r="F389" s="5">
        <v>0</v>
      </c>
    </row>
    <row r="390" spans="1:6" ht="15" customHeight="1" x14ac:dyDescent="0.25">
      <c r="A390" s="2" t="s">
        <v>132</v>
      </c>
      <c r="B390" s="2" t="s">
        <v>37</v>
      </c>
      <c r="C390" s="3">
        <v>4475.28</v>
      </c>
      <c r="D390" s="3">
        <v>1473.32</v>
      </c>
      <c r="E390" s="3">
        <v>4120</v>
      </c>
      <c r="F390" s="5">
        <v>0</v>
      </c>
    </row>
    <row r="391" spans="1:6" ht="15" customHeight="1" x14ac:dyDescent="0.25">
      <c r="A391" s="2" t="s">
        <v>133</v>
      </c>
      <c r="B391" s="2" t="s">
        <v>39</v>
      </c>
      <c r="C391" s="3">
        <v>124.9</v>
      </c>
      <c r="D391" s="3">
        <v>0</v>
      </c>
      <c r="E391" s="3">
        <v>750</v>
      </c>
      <c r="F391" s="5">
        <v>0</v>
      </c>
    </row>
    <row r="392" spans="1:6" ht="15" customHeight="1" x14ac:dyDescent="0.25">
      <c r="A392" s="2" t="s">
        <v>134</v>
      </c>
      <c r="B392" s="2" t="s">
        <v>90</v>
      </c>
      <c r="C392" s="3">
        <v>36.369999999999997</v>
      </c>
      <c r="D392" s="3">
        <v>0</v>
      </c>
      <c r="E392" s="3">
        <v>750</v>
      </c>
      <c r="F392" s="5">
        <v>0</v>
      </c>
    </row>
    <row r="393" spans="1:6" x14ac:dyDescent="0.25">
      <c r="A393" s="2" t="s">
        <v>135</v>
      </c>
      <c r="B393" s="2" t="s">
        <v>136</v>
      </c>
      <c r="C393" s="3">
        <v>6583.43</v>
      </c>
      <c r="D393" s="3">
        <v>11296.11</v>
      </c>
      <c r="E393" s="3">
        <v>11296.11</v>
      </c>
      <c r="F393" s="5">
        <v>0</v>
      </c>
    </row>
    <row r="394" spans="1:6" ht="15" customHeight="1" x14ac:dyDescent="0.25">
      <c r="A394" s="2" t="s">
        <v>137</v>
      </c>
      <c r="B394" s="2" t="s">
        <v>138</v>
      </c>
      <c r="C394" s="3">
        <v>0</v>
      </c>
      <c r="D394" s="3">
        <v>8151.01</v>
      </c>
      <c r="E394" s="3">
        <v>0</v>
      </c>
      <c r="F394" s="5">
        <v>0</v>
      </c>
    </row>
    <row r="395" spans="1:6" ht="15" customHeight="1" x14ac:dyDescent="0.25">
      <c r="A395" s="2" t="s">
        <v>139</v>
      </c>
      <c r="B395" s="2" t="s">
        <v>99</v>
      </c>
      <c r="C395" s="3">
        <v>626.77</v>
      </c>
      <c r="D395" s="3">
        <v>209.06</v>
      </c>
      <c r="E395" s="3">
        <v>800</v>
      </c>
      <c r="F395" s="5">
        <v>0</v>
      </c>
    </row>
    <row r="396" spans="1:6" ht="15" customHeight="1" x14ac:dyDescent="0.25">
      <c r="A396" s="2" t="s">
        <v>140</v>
      </c>
      <c r="B396" s="2" t="s">
        <v>59</v>
      </c>
      <c r="C396" s="3">
        <v>1508.97</v>
      </c>
      <c r="D396" s="3">
        <v>1457.72</v>
      </c>
      <c r="E396" s="3">
        <v>4000</v>
      </c>
      <c r="F396" s="5">
        <v>0</v>
      </c>
    </row>
    <row r="397" spans="1:6" ht="15" customHeight="1" x14ac:dyDescent="0.25">
      <c r="A397" s="2" t="s">
        <v>141</v>
      </c>
      <c r="B397" s="2" t="s">
        <v>17</v>
      </c>
      <c r="C397" s="3">
        <v>0</v>
      </c>
      <c r="D397" s="3">
        <v>0</v>
      </c>
      <c r="E397" s="3">
        <v>4000</v>
      </c>
      <c r="F397" s="5">
        <v>0</v>
      </c>
    </row>
    <row r="398" spans="1:6" ht="15" customHeight="1" x14ac:dyDescent="0.25">
      <c r="A398" s="2" t="s">
        <v>142</v>
      </c>
      <c r="B398" s="2" t="s">
        <v>64</v>
      </c>
      <c r="C398" s="3">
        <v>0</v>
      </c>
      <c r="D398" s="3">
        <v>183.51</v>
      </c>
      <c r="E398" s="3">
        <v>1500</v>
      </c>
      <c r="F398" s="5">
        <v>0</v>
      </c>
    </row>
    <row r="399" spans="1:6" ht="15" customHeight="1" x14ac:dyDescent="0.25">
      <c r="A399" s="2" t="s">
        <v>143</v>
      </c>
      <c r="B399" s="2" t="s">
        <v>144</v>
      </c>
      <c r="C399" s="3">
        <v>0</v>
      </c>
      <c r="D399" s="3">
        <v>27.75</v>
      </c>
      <c r="E399" s="3">
        <v>0</v>
      </c>
      <c r="F399" s="5">
        <v>0</v>
      </c>
    </row>
    <row r="400" spans="1:6" ht="15" customHeight="1" x14ac:dyDescent="0.25">
      <c r="A400" s="2" t="s">
        <v>145</v>
      </c>
      <c r="B400" s="2" t="s">
        <v>66</v>
      </c>
      <c r="C400" s="3">
        <v>2287</v>
      </c>
      <c r="D400" s="3">
        <v>263</v>
      </c>
      <c r="E400" s="3">
        <v>5000</v>
      </c>
      <c r="F400" s="5">
        <v>0</v>
      </c>
    </row>
    <row r="401" spans="1:6" ht="15" customHeight="1" x14ac:dyDescent="0.25">
      <c r="A401" s="2" t="s">
        <v>146</v>
      </c>
      <c r="B401" s="2" t="s">
        <v>147</v>
      </c>
      <c r="C401" s="3">
        <v>915</v>
      </c>
      <c r="D401" s="3">
        <v>455</v>
      </c>
      <c r="E401" s="3">
        <v>1200</v>
      </c>
      <c r="F401" s="5">
        <v>0</v>
      </c>
    </row>
    <row r="402" spans="1:6" ht="15" customHeight="1" x14ac:dyDescent="0.25">
      <c r="A402" s="2" t="s">
        <v>148</v>
      </c>
      <c r="B402" s="2" t="s">
        <v>149</v>
      </c>
      <c r="C402" s="3">
        <v>0</v>
      </c>
      <c r="D402" s="3">
        <v>0</v>
      </c>
      <c r="E402" s="3">
        <v>0</v>
      </c>
      <c r="F402" s="5">
        <v>0</v>
      </c>
    </row>
    <row r="403" spans="1:6" ht="15" customHeight="1" x14ac:dyDescent="0.25">
      <c r="A403" s="1" t="s">
        <v>150</v>
      </c>
      <c r="B403" s="1" t="s">
        <v>2</v>
      </c>
      <c r="C403" s="4">
        <v>437610.42</v>
      </c>
      <c r="D403" s="4">
        <v>240927.95</v>
      </c>
      <c r="E403" s="6">
        <f>SUM(E384:E402)</f>
        <v>477166.72</v>
      </c>
      <c r="F403" s="6">
        <f>SUM(F384:F402)</f>
        <v>0</v>
      </c>
    </row>
    <row r="404" spans="1:6" x14ac:dyDescent="0.25">
      <c r="A404" s="1" t="s">
        <v>2</v>
      </c>
      <c r="B404" s="1" t="s">
        <v>2</v>
      </c>
      <c r="C404" s="1" t="s">
        <v>2</v>
      </c>
      <c r="D404" s="1" t="s">
        <v>2</v>
      </c>
      <c r="E404" s="1" t="s">
        <v>2</v>
      </c>
      <c r="F404" s="1" t="s">
        <v>2</v>
      </c>
    </row>
    <row r="405" spans="1:6" ht="15" customHeight="1" x14ac:dyDescent="0.25">
      <c r="A405" s="1" t="s">
        <v>151</v>
      </c>
      <c r="B405" s="1" t="s">
        <v>2</v>
      </c>
    </row>
    <row r="406" spans="1:6" ht="15" customHeight="1" x14ac:dyDescent="0.25">
      <c r="A406" s="2" t="s">
        <v>152</v>
      </c>
      <c r="B406" s="2" t="s">
        <v>153</v>
      </c>
      <c r="C406" s="3">
        <v>4918.03</v>
      </c>
      <c r="D406" s="3">
        <v>1627.42</v>
      </c>
      <c r="E406" s="3">
        <v>6000</v>
      </c>
      <c r="F406" s="5">
        <v>0</v>
      </c>
    </row>
    <row r="407" spans="1:6" ht="15" customHeight="1" x14ac:dyDescent="0.25">
      <c r="A407" s="2" t="s">
        <v>154</v>
      </c>
      <c r="B407" s="2" t="s">
        <v>108</v>
      </c>
      <c r="C407" s="3">
        <v>74360.240000000005</v>
      </c>
      <c r="D407" s="3">
        <v>38406.29</v>
      </c>
      <c r="E407" s="3">
        <v>81945.62</v>
      </c>
      <c r="F407" s="5">
        <v>0</v>
      </c>
    </row>
    <row r="408" spans="1:6" ht="15" customHeight="1" x14ac:dyDescent="0.25">
      <c r="A408" s="2" t="s">
        <v>155</v>
      </c>
      <c r="B408" s="2" t="s">
        <v>29</v>
      </c>
      <c r="C408" s="3">
        <v>21300.080000000002</v>
      </c>
      <c r="D408" s="3">
        <v>12679.72</v>
      </c>
      <c r="E408" s="3">
        <v>27053.54</v>
      </c>
      <c r="F408" s="5">
        <v>0</v>
      </c>
    </row>
    <row r="409" spans="1:6" ht="15" customHeight="1" x14ac:dyDescent="0.25">
      <c r="A409" s="2" t="s">
        <v>156</v>
      </c>
      <c r="B409" s="2" t="s">
        <v>31</v>
      </c>
      <c r="C409" s="3">
        <v>240.05</v>
      </c>
      <c r="D409" s="3">
        <v>97.62</v>
      </c>
      <c r="E409" s="3">
        <v>277.48</v>
      </c>
      <c r="F409" s="5">
        <v>0</v>
      </c>
    </row>
    <row r="410" spans="1:6" ht="15" customHeight="1" x14ac:dyDescent="0.25">
      <c r="A410" s="2" t="s">
        <v>157</v>
      </c>
      <c r="B410" s="2" t="s">
        <v>158</v>
      </c>
      <c r="C410" s="3">
        <v>11902.93</v>
      </c>
      <c r="D410" s="3">
        <v>5203.37</v>
      </c>
      <c r="E410" s="3">
        <v>11407.43</v>
      </c>
      <c r="F410" s="5">
        <v>0</v>
      </c>
    </row>
    <row r="411" spans="1:6" x14ac:dyDescent="0.25">
      <c r="A411" s="2" t="s">
        <v>159</v>
      </c>
      <c r="B411" s="2" t="s">
        <v>113</v>
      </c>
      <c r="C411" s="3">
        <v>5614.06</v>
      </c>
      <c r="D411" s="3">
        <v>2892.3</v>
      </c>
      <c r="E411" s="3">
        <v>6268.84</v>
      </c>
      <c r="F411" s="5">
        <v>0</v>
      </c>
    </row>
    <row r="412" spans="1:6" ht="15" customHeight="1" x14ac:dyDescent="0.25">
      <c r="A412" s="2" t="s">
        <v>160</v>
      </c>
      <c r="B412" s="2" t="s">
        <v>13</v>
      </c>
      <c r="C412" s="3">
        <v>109.16</v>
      </c>
      <c r="D412" s="3">
        <v>82.3</v>
      </c>
      <c r="E412" s="3">
        <v>120.46</v>
      </c>
      <c r="F412" s="5">
        <v>0</v>
      </c>
    </row>
    <row r="413" spans="1:6" ht="15" customHeight="1" x14ac:dyDescent="0.25">
      <c r="A413" s="2" t="s">
        <v>161</v>
      </c>
      <c r="B413" s="2" t="s">
        <v>162</v>
      </c>
      <c r="C413" s="3">
        <v>564.12</v>
      </c>
      <c r="D413" s="3">
        <v>0</v>
      </c>
      <c r="E413" s="3">
        <v>2000</v>
      </c>
      <c r="F413" s="5">
        <v>0</v>
      </c>
    </row>
    <row r="414" spans="1:6" ht="15" customHeight="1" x14ac:dyDescent="0.25">
      <c r="A414" s="2" t="s">
        <v>163</v>
      </c>
      <c r="B414" s="2" t="s">
        <v>37</v>
      </c>
      <c r="C414" s="3">
        <v>19.57</v>
      </c>
      <c r="D414" s="3">
        <v>0</v>
      </c>
      <c r="E414" s="3">
        <v>200</v>
      </c>
      <c r="F414" s="5">
        <v>0</v>
      </c>
    </row>
    <row r="415" spans="1:6" ht="15" customHeight="1" x14ac:dyDescent="0.25">
      <c r="A415" s="2" t="s">
        <v>164</v>
      </c>
      <c r="B415" s="2" t="s">
        <v>90</v>
      </c>
      <c r="C415" s="3">
        <v>0</v>
      </c>
      <c r="D415" s="3">
        <v>0</v>
      </c>
      <c r="E415" s="3">
        <v>300</v>
      </c>
      <c r="F415" s="5">
        <v>0</v>
      </c>
    </row>
    <row r="416" spans="1:6" x14ac:dyDescent="0.25">
      <c r="A416" s="2" t="s">
        <v>165</v>
      </c>
      <c r="B416" s="2" t="s">
        <v>119</v>
      </c>
      <c r="C416" s="3">
        <v>5198.22</v>
      </c>
      <c r="D416" s="3">
        <v>5714.29</v>
      </c>
      <c r="E416" s="3">
        <v>5714.29</v>
      </c>
      <c r="F416" s="5">
        <v>0</v>
      </c>
    </row>
    <row r="417" spans="1:6" ht="15" customHeight="1" x14ac:dyDescent="0.25">
      <c r="A417" s="2" t="s">
        <v>166</v>
      </c>
      <c r="B417" s="2" t="s">
        <v>144</v>
      </c>
      <c r="C417" s="3">
        <v>634.71</v>
      </c>
      <c r="D417" s="3">
        <v>89.98</v>
      </c>
      <c r="E417" s="3">
        <v>650</v>
      </c>
      <c r="F417" s="5">
        <v>0</v>
      </c>
    </row>
    <row r="418" spans="1:6" ht="15" customHeight="1" x14ac:dyDescent="0.25">
      <c r="A418" s="2" t="s">
        <v>167</v>
      </c>
      <c r="B418" s="2" t="s">
        <v>99</v>
      </c>
      <c r="C418" s="3">
        <v>635.44000000000005</v>
      </c>
      <c r="D418" s="3">
        <v>211.98</v>
      </c>
      <c r="E418" s="3">
        <v>700</v>
      </c>
      <c r="F418" s="5">
        <v>0</v>
      </c>
    </row>
    <row r="419" spans="1:6" ht="15" customHeight="1" x14ac:dyDescent="0.25">
      <c r="A419" s="2" t="s">
        <v>168</v>
      </c>
      <c r="B419" s="2" t="s">
        <v>17</v>
      </c>
      <c r="C419" s="3">
        <v>0</v>
      </c>
      <c r="D419" s="3">
        <v>293.35000000000002</v>
      </c>
      <c r="E419" s="3">
        <v>750</v>
      </c>
      <c r="F419" s="5">
        <v>0</v>
      </c>
    </row>
    <row r="420" spans="1:6" ht="15" customHeight="1" x14ac:dyDescent="0.25">
      <c r="A420" s="2" t="s">
        <v>169</v>
      </c>
      <c r="B420" s="2" t="s">
        <v>64</v>
      </c>
      <c r="C420" s="3">
        <v>82.4</v>
      </c>
      <c r="D420" s="3">
        <v>63.73</v>
      </c>
      <c r="E420" s="3">
        <v>250</v>
      </c>
      <c r="F420" s="5">
        <v>0</v>
      </c>
    </row>
    <row r="421" spans="1:6" ht="15" customHeight="1" x14ac:dyDescent="0.25">
      <c r="A421" s="2" t="s">
        <v>170</v>
      </c>
      <c r="B421" s="2" t="s">
        <v>66</v>
      </c>
      <c r="C421" s="3">
        <v>231.08</v>
      </c>
      <c r="D421" s="3">
        <v>410</v>
      </c>
      <c r="E421" s="3">
        <v>450</v>
      </c>
      <c r="F421" s="5">
        <v>0</v>
      </c>
    </row>
    <row r="422" spans="1:6" ht="15" customHeight="1" x14ac:dyDescent="0.25">
      <c r="A422" s="1" t="s">
        <v>171</v>
      </c>
      <c r="B422" s="1" t="s">
        <v>2</v>
      </c>
      <c r="C422" s="4">
        <v>125810.09</v>
      </c>
      <c r="D422" s="4">
        <v>67772.350000000006</v>
      </c>
      <c r="E422" s="6">
        <f>SUM(E406:E421)</f>
        <v>144087.66</v>
      </c>
      <c r="F422" s="6">
        <f>SUM(F406:F421)</f>
        <v>0</v>
      </c>
    </row>
    <row r="423" spans="1:6" x14ac:dyDescent="0.25">
      <c r="A423" s="1" t="s">
        <v>2</v>
      </c>
      <c r="B423" s="1" t="s">
        <v>2</v>
      </c>
      <c r="C423" s="1" t="s">
        <v>2</v>
      </c>
      <c r="D423" s="1" t="s">
        <v>2</v>
      </c>
      <c r="E423" s="1" t="s">
        <v>2</v>
      </c>
      <c r="F423" s="1" t="s">
        <v>2</v>
      </c>
    </row>
    <row r="424" spans="1:6" x14ac:dyDescent="0.25">
      <c r="A424" s="1" t="s">
        <v>172</v>
      </c>
      <c r="B424" s="1" t="s">
        <v>2</v>
      </c>
    </row>
    <row r="425" spans="1:6" ht="15" customHeight="1" x14ac:dyDescent="0.25">
      <c r="A425" s="2" t="s">
        <v>173</v>
      </c>
      <c r="B425" s="2" t="s">
        <v>174</v>
      </c>
      <c r="C425" s="3">
        <v>0</v>
      </c>
      <c r="D425" s="3">
        <v>0</v>
      </c>
      <c r="E425" s="3">
        <v>0</v>
      </c>
      <c r="F425" s="5">
        <v>0</v>
      </c>
    </row>
    <row r="426" spans="1:6" ht="15" customHeight="1" x14ac:dyDescent="0.25">
      <c r="A426" s="2" t="s">
        <v>175</v>
      </c>
      <c r="B426" s="2" t="s">
        <v>176</v>
      </c>
      <c r="C426" s="3">
        <v>86113.74</v>
      </c>
      <c r="D426" s="3">
        <v>33953.050000000003</v>
      </c>
      <c r="E426" s="3">
        <v>100000</v>
      </c>
      <c r="F426" s="5">
        <v>0</v>
      </c>
    </row>
    <row r="427" spans="1:6" ht="15" customHeight="1" x14ac:dyDescent="0.25">
      <c r="A427" s="2" t="s">
        <v>177</v>
      </c>
      <c r="B427" s="2" t="s">
        <v>178</v>
      </c>
      <c r="C427" s="3">
        <v>18014.25</v>
      </c>
      <c r="D427" s="3">
        <v>7166.25</v>
      </c>
      <c r="E427" s="3">
        <v>0</v>
      </c>
      <c r="F427" s="5">
        <v>0</v>
      </c>
    </row>
    <row r="428" spans="1:6" ht="15" customHeight="1" x14ac:dyDescent="0.25">
      <c r="A428" s="2" t="s">
        <v>179</v>
      </c>
      <c r="B428" s="2" t="s">
        <v>180</v>
      </c>
      <c r="C428" s="3">
        <v>6444.59</v>
      </c>
      <c r="D428" s="3">
        <v>0</v>
      </c>
      <c r="E428" s="3">
        <v>10000</v>
      </c>
      <c r="F428" s="5">
        <v>0</v>
      </c>
    </row>
    <row r="429" spans="1:6" ht="15" customHeight="1" x14ac:dyDescent="0.25">
      <c r="A429" s="1" t="s">
        <v>181</v>
      </c>
      <c r="B429" s="1" t="s">
        <v>2</v>
      </c>
      <c r="C429" s="4">
        <v>110572.58</v>
      </c>
      <c r="D429" s="4">
        <v>41119.300000000003</v>
      </c>
      <c r="E429" s="6">
        <f>SUM(E425:E428)</f>
        <v>110000</v>
      </c>
      <c r="F429" s="6">
        <f>SUM(F425:F428)</f>
        <v>0</v>
      </c>
    </row>
    <row r="430" spans="1:6" x14ac:dyDescent="0.25">
      <c r="A430" s="1" t="s">
        <v>2</v>
      </c>
      <c r="B430" s="1" t="s">
        <v>2</v>
      </c>
      <c r="C430" s="1" t="s">
        <v>2</v>
      </c>
      <c r="D430" s="1" t="s">
        <v>2</v>
      </c>
      <c r="E430" s="1" t="s">
        <v>2</v>
      </c>
      <c r="F430" s="1" t="s">
        <v>2</v>
      </c>
    </row>
    <row r="431" spans="1:6" ht="15" customHeight="1" x14ac:dyDescent="0.25">
      <c r="A431" s="1" t="s">
        <v>182</v>
      </c>
      <c r="B431" s="1" t="s">
        <v>2</v>
      </c>
    </row>
    <row r="432" spans="1:6" ht="15" customHeight="1" x14ac:dyDescent="0.25">
      <c r="A432" s="2" t="s">
        <v>183</v>
      </c>
      <c r="B432" s="2" t="s">
        <v>184</v>
      </c>
      <c r="C432" s="3">
        <v>33264.300000000003</v>
      </c>
      <c r="D432" s="3">
        <v>0</v>
      </c>
      <c r="E432" s="3">
        <v>30000</v>
      </c>
      <c r="F432" s="5">
        <v>0</v>
      </c>
    </row>
    <row r="433" spans="1:6" x14ac:dyDescent="0.25">
      <c r="A433" s="2" t="s">
        <v>185</v>
      </c>
      <c r="B433" s="2" t="s">
        <v>186</v>
      </c>
      <c r="C433" s="3">
        <v>5213.09</v>
      </c>
      <c r="D433" s="3">
        <v>0</v>
      </c>
      <c r="E433" s="3">
        <v>20000</v>
      </c>
      <c r="F433" s="5">
        <v>0</v>
      </c>
    </row>
    <row r="434" spans="1:6" ht="15" customHeight="1" x14ac:dyDescent="0.25">
      <c r="A434" s="2" t="s">
        <v>187</v>
      </c>
      <c r="B434" s="2" t="s">
        <v>188</v>
      </c>
      <c r="C434" s="3">
        <v>366941</v>
      </c>
      <c r="D434" s="3">
        <v>412755</v>
      </c>
      <c r="E434" s="3">
        <v>433514.7</v>
      </c>
      <c r="F434" s="5">
        <v>0</v>
      </c>
    </row>
    <row r="435" spans="1:6" ht="15" customHeight="1" x14ac:dyDescent="0.25">
      <c r="A435" s="2" t="s">
        <v>189</v>
      </c>
      <c r="B435" s="2" t="s">
        <v>190</v>
      </c>
      <c r="C435" s="3">
        <v>0</v>
      </c>
      <c r="D435" s="3">
        <v>0</v>
      </c>
      <c r="E435" s="3">
        <v>10000</v>
      </c>
      <c r="F435" s="5">
        <v>0</v>
      </c>
    </row>
    <row r="436" spans="1:6" ht="15" customHeight="1" x14ac:dyDescent="0.25">
      <c r="A436" s="2" t="s">
        <v>191</v>
      </c>
      <c r="B436" s="2" t="s">
        <v>192</v>
      </c>
      <c r="C436" s="3">
        <v>-75387.66</v>
      </c>
      <c r="D436" s="3">
        <v>0</v>
      </c>
      <c r="E436" s="3">
        <v>-108378.67</v>
      </c>
      <c r="F436" s="5">
        <v>0</v>
      </c>
    </row>
    <row r="437" spans="1:6" ht="15" customHeight="1" x14ac:dyDescent="0.25">
      <c r="A437" s="2" t="s">
        <v>193</v>
      </c>
      <c r="B437" s="2" t="s">
        <v>194</v>
      </c>
      <c r="C437" s="3">
        <v>0</v>
      </c>
      <c r="D437" s="3">
        <v>0</v>
      </c>
      <c r="E437" s="3">
        <v>0</v>
      </c>
      <c r="F437" s="5">
        <v>0</v>
      </c>
    </row>
    <row r="438" spans="1:6" ht="15" customHeight="1" x14ac:dyDescent="0.25">
      <c r="A438" s="2" t="s">
        <v>195</v>
      </c>
      <c r="B438" s="2" t="s">
        <v>196</v>
      </c>
      <c r="C438" s="3">
        <v>1876.67</v>
      </c>
      <c r="D438" s="3">
        <v>1604.1</v>
      </c>
      <c r="E438" s="3">
        <v>3000</v>
      </c>
      <c r="F438" s="5">
        <v>0</v>
      </c>
    </row>
    <row r="439" spans="1:6" ht="15" customHeight="1" x14ac:dyDescent="0.25">
      <c r="A439" s="2" t="s">
        <v>197</v>
      </c>
      <c r="B439" s="2" t="s">
        <v>198</v>
      </c>
      <c r="C439" s="3">
        <v>8001.59</v>
      </c>
      <c r="D439" s="3">
        <v>8859.9699999999993</v>
      </c>
      <c r="E439" s="3">
        <v>8859.9699999999993</v>
      </c>
      <c r="F439" s="5">
        <v>0</v>
      </c>
    </row>
    <row r="440" spans="1:6" ht="15" customHeight="1" x14ac:dyDescent="0.25">
      <c r="A440" s="2" t="s">
        <v>199</v>
      </c>
      <c r="B440" s="2" t="s">
        <v>92</v>
      </c>
      <c r="C440" s="3">
        <v>9393.91</v>
      </c>
      <c r="D440" s="3">
        <v>11703.78</v>
      </c>
      <c r="E440" s="3">
        <v>11703.78</v>
      </c>
      <c r="F440" s="5">
        <v>0</v>
      </c>
    </row>
    <row r="441" spans="1:6" ht="15" customHeight="1" x14ac:dyDescent="0.25">
      <c r="A441" s="2" t="s">
        <v>200</v>
      </c>
      <c r="B441" s="2" t="s">
        <v>95</v>
      </c>
      <c r="C441" s="3">
        <v>21821.69</v>
      </c>
      <c r="D441" s="3">
        <v>5350</v>
      </c>
      <c r="E441" s="3">
        <v>8000</v>
      </c>
      <c r="F441" s="5">
        <v>0</v>
      </c>
    </row>
    <row r="442" spans="1:6" ht="15" customHeight="1" x14ac:dyDescent="0.25">
      <c r="A442" s="2" t="s">
        <v>201</v>
      </c>
      <c r="B442" s="2" t="s">
        <v>202</v>
      </c>
      <c r="C442" s="3">
        <v>7095.49</v>
      </c>
      <c r="D442" s="3">
        <v>0</v>
      </c>
      <c r="E442" s="3">
        <v>6000</v>
      </c>
      <c r="F442" s="5">
        <v>0</v>
      </c>
    </row>
    <row r="443" spans="1:6" ht="15" customHeight="1" x14ac:dyDescent="0.25">
      <c r="A443" s="2" t="s">
        <v>203</v>
      </c>
      <c r="B443" s="2" t="s">
        <v>204</v>
      </c>
      <c r="C443" s="3">
        <v>4863.3</v>
      </c>
      <c r="D443" s="3">
        <v>5398.65</v>
      </c>
      <c r="E443" s="3">
        <v>40000</v>
      </c>
      <c r="F443" s="5">
        <v>0</v>
      </c>
    </row>
    <row r="444" spans="1:6" ht="15" customHeight="1" x14ac:dyDescent="0.25">
      <c r="A444" s="2" t="s">
        <v>205</v>
      </c>
      <c r="B444" s="2" t="s">
        <v>57</v>
      </c>
      <c r="C444" s="3">
        <v>6627.73</v>
      </c>
      <c r="D444" s="3">
        <v>1973.79</v>
      </c>
      <c r="E444" s="3">
        <v>5500</v>
      </c>
      <c r="F444" s="5">
        <v>0</v>
      </c>
    </row>
    <row r="445" spans="1:6" ht="15" customHeight="1" x14ac:dyDescent="0.25">
      <c r="A445" s="2" t="s">
        <v>206</v>
      </c>
      <c r="B445" s="2" t="s">
        <v>144</v>
      </c>
      <c r="C445" s="3">
        <v>0</v>
      </c>
      <c r="D445" s="3">
        <v>0</v>
      </c>
      <c r="E445" s="3">
        <v>1000</v>
      </c>
      <c r="F445" s="5">
        <v>0</v>
      </c>
    </row>
    <row r="446" spans="1:6" ht="15" customHeight="1" x14ac:dyDescent="0.25">
      <c r="A446" s="2" t="s">
        <v>207</v>
      </c>
      <c r="B446" s="2" t="s">
        <v>208</v>
      </c>
      <c r="C446" s="3">
        <v>8108.12</v>
      </c>
      <c r="D446" s="3">
        <v>3380.19</v>
      </c>
      <c r="E446" s="3">
        <v>9000</v>
      </c>
      <c r="F446" s="5">
        <v>0</v>
      </c>
    </row>
    <row r="447" spans="1:6" ht="15" customHeight="1" x14ac:dyDescent="0.25">
      <c r="A447" s="2" t="s">
        <v>209</v>
      </c>
      <c r="B447" s="2" t="s">
        <v>210</v>
      </c>
      <c r="C447" s="3">
        <v>3588.76</v>
      </c>
      <c r="D447" s="3">
        <v>1795.22</v>
      </c>
      <c r="E447" s="3">
        <v>4000</v>
      </c>
      <c r="F447" s="5">
        <v>0</v>
      </c>
    </row>
    <row r="448" spans="1:6" ht="15" customHeight="1" x14ac:dyDescent="0.25">
      <c r="A448" s="2" t="s">
        <v>211</v>
      </c>
      <c r="B448" s="2" t="s">
        <v>62</v>
      </c>
      <c r="C448" s="3">
        <v>2864.69</v>
      </c>
      <c r="D448" s="3">
        <v>2062.59</v>
      </c>
      <c r="E448" s="3">
        <v>2800</v>
      </c>
      <c r="F448" s="5">
        <v>0</v>
      </c>
    </row>
    <row r="449" spans="1:6" ht="15" customHeight="1" x14ac:dyDescent="0.25">
      <c r="A449" s="2" t="s">
        <v>212</v>
      </c>
      <c r="B449" s="2" t="s">
        <v>213</v>
      </c>
      <c r="C449" s="3">
        <v>4077.04</v>
      </c>
      <c r="D449" s="3">
        <v>3028.98</v>
      </c>
      <c r="E449" s="3">
        <v>4000</v>
      </c>
      <c r="F449" s="5">
        <v>0</v>
      </c>
    </row>
    <row r="450" spans="1:6" ht="15" customHeight="1" x14ac:dyDescent="0.25">
      <c r="A450" s="2" t="s">
        <v>214</v>
      </c>
      <c r="B450" s="2" t="s">
        <v>215</v>
      </c>
      <c r="C450" s="3">
        <v>12006.41</v>
      </c>
      <c r="D450" s="3">
        <v>3881.7</v>
      </c>
      <c r="E450" s="3">
        <v>15500</v>
      </c>
      <c r="F450" s="5">
        <v>0</v>
      </c>
    </row>
    <row r="451" spans="1:6" ht="15" customHeight="1" x14ac:dyDescent="0.25">
      <c r="A451" s="2" t="s">
        <v>216</v>
      </c>
      <c r="B451" s="2" t="s">
        <v>217</v>
      </c>
      <c r="C451" s="3">
        <v>2997</v>
      </c>
      <c r="D451" s="3">
        <v>1295.6600000000001</v>
      </c>
      <c r="E451" s="3">
        <v>3500</v>
      </c>
      <c r="F451" s="5">
        <v>0</v>
      </c>
    </row>
    <row r="452" spans="1:6" ht="15" customHeight="1" x14ac:dyDescent="0.25">
      <c r="A452" s="2" t="s">
        <v>218</v>
      </c>
      <c r="B452" s="2" t="s">
        <v>219</v>
      </c>
      <c r="C452" s="3">
        <v>8149.89</v>
      </c>
      <c r="D452" s="3">
        <v>0</v>
      </c>
      <c r="E452" s="3">
        <v>1500</v>
      </c>
      <c r="F452" s="5">
        <v>0</v>
      </c>
    </row>
    <row r="453" spans="1:6" ht="15" customHeight="1" x14ac:dyDescent="0.25">
      <c r="A453" s="2" t="s">
        <v>220</v>
      </c>
      <c r="B453" s="2" t="s">
        <v>221</v>
      </c>
      <c r="C453" s="3">
        <v>15391.55</v>
      </c>
      <c r="D453" s="3">
        <v>3026.19</v>
      </c>
      <c r="E453" s="3">
        <v>10000</v>
      </c>
      <c r="F453" s="5">
        <v>0</v>
      </c>
    </row>
    <row r="454" spans="1:6" ht="15" customHeight="1" x14ac:dyDescent="0.25">
      <c r="A454" s="2" t="s">
        <v>222</v>
      </c>
      <c r="B454" s="2" t="s">
        <v>223</v>
      </c>
      <c r="C454" s="3">
        <v>3000</v>
      </c>
      <c r="D454" s="3">
        <v>3000</v>
      </c>
      <c r="E454" s="3">
        <v>3000</v>
      </c>
      <c r="F454" s="5">
        <v>0</v>
      </c>
    </row>
    <row r="455" spans="1:6" x14ac:dyDescent="0.25">
      <c r="A455" s="2" t="s">
        <v>224</v>
      </c>
      <c r="B455" s="2" t="s">
        <v>225</v>
      </c>
      <c r="C455" s="3">
        <v>0</v>
      </c>
      <c r="D455" s="3">
        <v>0</v>
      </c>
      <c r="E455" s="3">
        <v>0</v>
      </c>
      <c r="F455" s="5">
        <v>0</v>
      </c>
    </row>
    <row r="456" spans="1:6" ht="15" customHeight="1" x14ac:dyDescent="0.25">
      <c r="A456" s="2" t="s">
        <v>226</v>
      </c>
      <c r="B456" s="2" t="s">
        <v>227</v>
      </c>
      <c r="C456" s="3">
        <v>8000</v>
      </c>
      <c r="D456" s="3">
        <v>10000</v>
      </c>
      <c r="E456" s="3">
        <v>10000</v>
      </c>
      <c r="F456" s="5">
        <v>0</v>
      </c>
    </row>
    <row r="457" spans="1:6" ht="15" customHeight="1" x14ac:dyDescent="0.25">
      <c r="A457" s="2" t="s">
        <v>228</v>
      </c>
      <c r="B457" s="2" t="s">
        <v>229</v>
      </c>
      <c r="C457" s="3">
        <v>0</v>
      </c>
      <c r="D457" s="3">
        <v>0</v>
      </c>
      <c r="E457" s="3">
        <v>0</v>
      </c>
      <c r="F457" s="5">
        <v>0</v>
      </c>
    </row>
    <row r="458" spans="1:6" x14ac:dyDescent="0.25">
      <c r="A458" s="2" t="s">
        <v>230</v>
      </c>
      <c r="B458" s="2" t="s">
        <v>231</v>
      </c>
      <c r="C458" s="3">
        <v>19976.41</v>
      </c>
      <c r="D458" s="3">
        <v>0</v>
      </c>
      <c r="E458" s="3">
        <v>30000</v>
      </c>
      <c r="F458" s="5">
        <v>0</v>
      </c>
    </row>
    <row r="459" spans="1:6" ht="15" customHeight="1" x14ac:dyDescent="0.25">
      <c r="A459" s="2" t="s">
        <v>232</v>
      </c>
      <c r="B459" s="2" t="s">
        <v>233</v>
      </c>
      <c r="C459" s="3">
        <v>355.84</v>
      </c>
      <c r="D459" s="3">
        <v>152.63999999999999</v>
      </c>
      <c r="E459" s="3">
        <v>1000</v>
      </c>
      <c r="F459" s="5">
        <v>0</v>
      </c>
    </row>
    <row r="460" spans="1:6" ht="15" customHeight="1" x14ac:dyDescent="0.25">
      <c r="A460" s="2" t="s">
        <v>234</v>
      </c>
      <c r="B460" s="2" t="s">
        <v>235</v>
      </c>
      <c r="C460" s="3">
        <v>8752</v>
      </c>
      <c r="D460" s="3">
        <v>9887</v>
      </c>
      <c r="E460" s="3">
        <v>9605</v>
      </c>
      <c r="F460" s="5">
        <v>0</v>
      </c>
    </row>
    <row r="461" spans="1:6" ht="15" customHeight="1" x14ac:dyDescent="0.25">
      <c r="A461" s="2" t="s">
        <v>236</v>
      </c>
      <c r="B461" s="2" t="s">
        <v>237</v>
      </c>
      <c r="C461" s="3">
        <v>10749</v>
      </c>
      <c r="D461" s="3">
        <v>11470</v>
      </c>
      <c r="E461" s="3">
        <v>11787</v>
      </c>
      <c r="F461" s="5">
        <v>0</v>
      </c>
    </row>
    <row r="462" spans="1:6" ht="15" customHeight="1" x14ac:dyDescent="0.25">
      <c r="A462" s="2" t="s">
        <v>238</v>
      </c>
      <c r="B462" s="2" t="s">
        <v>239</v>
      </c>
      <c r="C462" s="3">
        <v>1098.0899999999999</v>
      </c>
      <c r="D462" s="3">
        <v>1097.68</v>
      </c>
      <c r="E462" s="3">
        <v>1100</v>
      </c>
      <c r="F462" s="5">
        <v>0</v>
      </c>
    </row>
    <row r="463" spans="1:6" ht="15" customHeight="1" x14ac:dyDescent="0.25">
      <c r="A463" s="2" t="s">
        <v>240</v>
      </c>
      <c r="B463" s="2" t="s">
        <v>241</v>
      </c>
      <c r="C463" s="3">
        <v>100</v>
      </c>
      <c r="D463" s="3">
        <v>0</v>
      </c>
      <c r="E463" s="3">
        <v>150</v>
      </c>
      <c r="F463" s="5">
        <v>0</v>
      </c>
    </row>
    <row r="464" spans="1:6" ht="15" customHeight="1" x14ac:dyDescent="0.25">
      <c r="A464" s="2" t="s">
        <v>242</v>
      </c>
      <c r="B464" s="2" t="s">
        <v>243</v>
      </c>
      <c r="C464" s="3">
        <v>4000</v>
      </c>
      <c r="D464" s="3">
        <v>4000</v>
      </c>
      <c r="E464" s="3">
        <v>4000</v>
      </c>
      <c r="F464" s="5">
        <v>0</v>
      </c>
    </row>
    <row r="465" spans="1:6" x14ac:dyDescent="0.25">
      <c r="A465" s="2" t="s">
        <v>244</v>
      </c>
      <c r="B465" s="2" t="s">
        <v>245</v>
      </c>
      <c r="C465" s="3">
        <v>15022.46</v>
      </c>
      <c r="D465" s="3">
        <v>1425.22</v>
      </c>
      <c r="E465" s="3">
        <v>30000</v>
      </c>
      <c r="F465" s="5">
        <v>0</v>
      </c>
    </row>
    <row r="466" spans="1:6" ht="15" customHeight="1" x14ac:dyDescent="0.25">
      <c r="A466" s="2" t="s">
        <v>246</v>
      </c>
      <c r="B466" s="2" t="s">
        <v>247</v>
      </c>
      <c r="C466" s="3">
        <v>32570</v>
      </c>
      <c r="D466" s="3">
        <v>8105</v>
      </c>
      <c r="E466" s="3">
        <v>34000</v>
      </c>
      <c r="F466" s="5">
        <v>0</v>
      </c>
    </row>
    <row r="467" spans="1:6" ht="15" customHeight="1" x14ac:dyDescent="0.25">
      <c r="A467" s="2" t="s">
        <v>248</v>
      </c>
      <c r="B467" s="2" t="s">
        <v>249</v>
      </c>
      <c r="C467" s="3">
        <v>5000</v>
      </c>
      <c r="D467" s="3">
        <v>10000</v>
      </c>
      <c r="E467" s="3">
        <v>10000</v>
      </c>
      <c r="F467" s="5">
        <v>0</v>
      </c>
    </row>
    <row r="468" spans="1:6" x14ac:dyDescent="0.25">
      <c r="A468" s="2" t="s">
        <v>250</v>
      </c>
      <c r="B468" s="2" t="s">
        <v>251</v>
      </c>
      <c r="C468" s="3">
        <v>1080</v>
      </c>
      <c r="D468" s="3">
        <v>2000</v>
      </c>
      <c r="E468" s="3">
        <v>2000</v>
      </c>
      <c r="F468" s="5">
        <v>0</v>
      </c>
    </row>
    <row r="469" spans="1:6" ht="15" customHeight="1" x14ac:dyDescent="0.25">
      <c r="A469" s="2" t="s">
        <v>252</v>
      </c>
      <c r="B469" s="2" t="s">
        <v>253</v>
      </c>
      <c r="C469" s="3">
        <v>0</v>
      </c>
      <c r="D469" s="3">
        <v>3000</v>
      </c>
      <c r="E469" s="3">
        <v>3000</v>
      </c>
      <c r="F469" s="5">
        <v>0</v>
      </c>
    </row>
    <row r="470" spans="1:6" x14ac:dyDescent="0.25">
      <c r="A470" s="2" t="s">
        <v>254</v>
      </c>
      <c r="B470" s="2" t="s">
        <v>255</v>
      </c>
      <c r="C470" s="3">
        <v>2500</v>
      </c>
      <c r="D470" s="3">
        <v>2500</v>
      </c>
      <c r="E470" s="3">
        <v>2500</v>
      </c>
      <c r="F470" s="5">
        <v>0</v>
      </c>
    </row>
    <row r="471" spans="1:6" ht="15" customHeight="1" x14ac:dyDescent="0.25">
      <c r="A471" s="2" t="s">
        <v>256</v>
      </c>
      <c r="B471" s="2" t="s">
        <v>257</v>
      </c>
      <c r="C471" s="3">
        <v>1000</v>
      </c>
      <c r="D471" s="3">
        <v>2000</v>
      </c>
      <c r="E471" s="3">
        <v>2000</v>
      </c>
      <c r="F471" s="5">
        <v>0</v>
      </c>
    </row>
    <row r="472" spans="1:6" ht="15" customHeight="1" x14ac:dyDescent="0.25">
      <c r="A472" s="2" t="s">
        <v>258</v>
      </c>
      <c r="B472" s="2" t="s">
        <v>259</v>
      </c>
      <c r="C472" s="3">
        <v>5000</v>
      </c>
      <c r="D472" s="3">
        <v>6329</v>
      </c>
      <c r="E472" s="3">
        <v>6329</v>
      </c>
      <c r="F472" s="5">
        <v>0</v>
      </c>
    </row>
    <row r="473" spans="1:6" ht="15" customHeight="1" x14ac:dyDescent="0.25">
      <c r="A473" s="2" t="s">
        <v>260</v>
      </c>
      <c r="B473" s="2" t="s">
        <v>261</v>
      </c>
      <c r="C473" s="3">
        <v>0</v>
      </c>
      <c r="D473" s="3">
        <v>5000</v>
      </c>
      <c r="E473" s="3">
        <v>5000</v>
      </c>
      <c r="F473" s="5">
        <v>0</v>
      </c>
    </row>
    <row r="474" spans="1:6" x14ac:dyDescent="0.25">
      <c r="A474" s="2" t="s">
        <v>262</v>
      </c>
      <c r="B474" s="2" t="s">
        <v>263</v>
      </c>
      <c r="C474" s="3">
        <v>0</v>
      </c>
      <c r="D474" s="3">
        <v>3140</v>
      </c>
      <c r="E474" s="3">
        <v>3140</v>
      </c>
      <c r="F474" s="5">
        <v>0</v>
      </c>
    </row>
    <row r="475" spans="1:6" x14ac:dyDescent="0.25">
      <c r="A475" s="2" t="s">
        <v>264</v>
      </c>
      <c r="B475" s="2" t="s">
        <v>265</v>
      </c>
      <c r="C475" s="3">
        <v>73564.679999999993</v>
      </c>
      <c r="D475" s="3">
        <v>25280.639999999999</v>
      </c>
      <c r="E475" s="3">
        <v>76000</v>
      </c>
      <c r="F475" s="5">
        <v>0</v>
      </c>
    </row>
    <row r="476" spans="1:6" ht="15" customHeight="1" x14ac:dyDescent="0.25">
      <c r="A476" s="2" t="s">
        <v>266</v>
      </c>
      <c r="B476" s="2" t="s">
        <v>267</v>
      </c>
      <c r="C476" s="3">
        <v>3500</v>
      </c>
      <c r="D476" s="3">
        <v>0</v>
      </c>
      <c r="E476" s="3">
        <v>0</v>
      </c>
      <c r="F476" s="5">
        <v>0</v>
      </c>
    </row>
    <row r="477" spans="1:6" x14ac:dyDescent="0.25">
      <c r="A477" s="2" t="s">
        <v>268</v>
      </c>
      <c r="B477" s="2" t="s">
        <v>269</v>
      </c>
      <c r="C477" s="3">
        <v>0</v>
      </c>
      <c r="D477" s="3">
        <v>0</v>
      </c>
      <c r="E477" s="3">
        <v>0</v>
      </c>
      <c r="F477" s="5">
        <v>0</v>
      </c>
    </row>
    <row r="478" spans="1:6" x14ac:dyDescent="0.25">
      <c r="A478" s="2" t="s">
        <v>270</v>
      </c>
      <c r="B478" s="2" t="s">
        <v>271</v>
      </c>
      <c r="C478" s="3">
        <v>0</v>
      </c>
      <c r="D478" s="3">
        <v>0</v>
      </c>
      <c r="E478" s="3">
        <v>0</v>
      </c>
      <c r="F478" s="5">
        <v>0</v>
      </c>
    </row>
    <row r="479" spans="1:6" ht="15" customHeight="1" x14ac:dyDescent="0.25">
      <c r="A479" s="2" t="s">
        <v>272</v>
      </c>
      <c r="B479" s="2" t="s">
        <v>273</v>
      </c>
      <c r="C479" s="3">
        <v>0</v>
      </c>
      <c r="D479" s="3">
        <v>2500</v>
      </c>
      <c r="E479" s="3">
        <v>2500</v>
      </c>
      <c r="F479" s="5">
        <v>0</v>
      </c>
    </row>
    <row r="480" spans="1:6" ht="15" customHeight="1" x14ac:dyDescent="0.25">
      <c r="A480" s="2" t="s">
        <v>274</v>
      </c>
      <c r="B480" s="2" t="s">
        <v>275</v>
      </c>
      <c r="C480" s="3">
        <v>0</v>
      </c>
      <c r="D480" s="3">
        <v>0</v>
      </c>
      <c r="E480" s="3">
        <v>0</v>
      </c>
      <c r="F480" s="5">
        <v>0</v>
      </c>
    </row>
    <row r="481" spans="1:6" ht="15" customHeight="1" x14ac:dyDescent="0.25">
      <c r="A481" s="1" t="s">
        <v>276</v>
      </c>
      <c r="B481" s="1" t="s">
        <v>2</v>
      </c>
      <c r="C481" s="4">
        <v>642163.05000000005</v>
      </c>
      <c r="D481" s="4">
        <v>577003</v>
      </c>
      <c r="E481" s="6">
        <f>SUM(E432:E480)</f>
        <v>766610.78</v>
      </c>
      <c r="F481" s="6">
        <f>SUM(F432:F480)</f>
        <v>0</v>
      </c>
    </row>
    <row r="482" spans="1:6" x14ac:dyDescent="0.25">
      <c r="A482" s="1" t="s">
        <v>2</v>
      </c>
      <c r="B482" s="1" t="s">
        <v>2</v>
      </c>
      <c r="C482" s="1" t="s">
        <v>2</v>
      </c>
      <c r="D482" s="1" t="s">
        <v>2</v>
      </c>
      <c r="E482" s="1" t="s">
        <v>2</v>
      </c>
      <c r="F482" s="1" t="s">
        <v>2</v>
      </c>
    </row>
    <row r="483" spans="1:6" ht="15" customHeight="1" x14ac:dyDescent="0.25">
      <c r="A483" s="1" t="s">
        <v>277</v>
      </c>
      <c r="B483" s="1" t="s">
        <v>2</v>
      </c>
    </row>
    <row r="484" spans="1:6" ht="15" customHeight="1" x14ac:dyDescent="0.25">
      <c r="A484" s="2" t="s">
        <v>278</v>
      </c>
      <c r="B484" s="2" t="s">
        <v>279</v>
      </c>
      <c r="C484" s="3">
        <v>144163.46</v>
      </c>
      <c r="D484" s="3">
        <v>65860.820000000007</v>
      </c>
      <c r="E484" s="3">
        <v>151294.76999999999</v>
      </c>
      <c r="F484" s="5">
        <v>0</v>
      </c>
    </row>
    <row r="485" spans="1:6" ht="15" customHeight="1" x14ac:dyDescent="0.25">
      <c r="A485" s="2" t="s">
        <v>280</v>
      </c>
      <c r="B485" s="2" t="s">
        <v>29</v>
      </c>
      <c r="C485" s="3">
        <v>28576.01</v>
      </c>
      <c r="D485" s="3">
        <v>13769.95</v>
      </c>
      <c r="E485" s="3">
        <v>30409.39</v>
      </c>
      <c r="F485" s="5">
        <v>0</v>
      </c>
    </row>
    <row r="486" spans="1:6" ht="15" customHeight="1" x14ac:dyDescent="0.25">
      <c r="A486" s="2" t="s">
        <v>281</v>
      </c>
      <c r="B486" s="2" t="s">
        <v>31</v>
      </c>
      <c r="C486" s="3">
        <v>251.3</v>
      </c>
      <c r="D486" s="3">
        <v>105.94</v>
      </c>
      <c r="E486" s="3">
        <v>277.48</v>
      </c>
      <c r="F486" s="5">
        <v>0</v>
      </c>
    </row>
    <row r="487" spans="1:6" ht="15" customHeight="1" x14ac:dyDescent="0.25">
      <c r="A487" s="2" t="s">
        <v>282</v>
      </c>
      <c r="B487" s="2" t="s">
        <v>33</v>
      </c>
      <c r="C487" s="3">
        <v>9896.74</v>
      </c>
      <c r="D487" s="3">
        <v>4590.6400000000003</v>
      </c>
      <c r="E487" s="3">
        <v>9981.1200000000008</v>
      </c>
      <c r="F487" s="5">
        <v>0</v>
      </c>
    </row>
    <row r="488" spans="1:6" ht="15" customHeight="1" x14ac:dyDescent="0.25">
      <c r="A488" s="2" t="s">
        <v>283</v>
      </c>
      <c r="B488" s="2" t="s">
        <v>11</v>
      </c>
      <c r="C488" s="3">
        <v>11056.44</v>
      </c>
      <c r="D488" s="3">
        <v>5026.42</v>
      </c>
      <c r="E488" s="3">
        <v>11047.37</v>
      </c>
      <c r="F488" s="5">
        <v>0</v>
      </c>
    </row>
    <row r="489" spans="1:6" ht="15" customHeight="1" x14ac:dyDescent="0.25">
      <c r="A489" s="2" t="s">
        <v>284</v>
      </c>
      <c r="B489" s="2" t="s">
        <v>13</v>
      </c>
      <c r="C489" s="3">
        <v>209.44</v>
      </c>
      <c r="D489" s="3">
        <v>141.83000000000001</v>
      </c>
      <c r="E489" s="3">
        <v>222.4</v>
      </c>
      <c r="F489" s="5">
        <v>0</v>
      </c>
    </row>
    <row r="490" spans="1:6" ht="15" customHeight="1" x14ac:dyDescent="0.25">
      <c r="A490" s="2" t="s">
        <v>285</v>
      </c>
      <c r="B490" s="2" t="s">
        <v>286</v>
      </c>
      <c r="C490" s="3">
        <v>500</v>
      </c>
      <c r="D490" s="3">
        <v>500</v>
      </c>
      <c r="E490" s="3">
        <v>900</v>
      </c>
      <c r="F490" s="5">
        <v>0</v>
      </c>
    </row>
    <row r="491" spans="1:6" ht="15" customHeight="1" x14ac:dyDescent="0.25">
      <c r="A491" s="2" t="s">
        <v>287</v>
      </c>
      <c r="B491" s="2" t="s">
        <v>17</v>
      </c>
      <c r="C491" s="3">
        <v>0</v>
      </c>
      <c r="D491" s="3">
        <v>502.73</v>
      </c>
      <c r="E491" s="3">
        <v>0</v>
      </c>
      <c r="F491" s="5">
        <v>0</v>
      </c>
    </row>
    <row r="492" spans="1:6" ht="15" customHeight="1" x14ac:dyDescent="0.25">
      <c r="A492" s="1" t="s">
        <v>288</v>
      </c>
      <c r="B492" s="1" t="s">
        <v>2</v>
      </c>
      <c r="C492" s="4">
        <v>194653.39</v>
      </c>
      <c r="D492" s="4">
        <v>90498.33</v>
      </c>
      <c r="E492" s="6">
        <f>SUM(E484:E491)</f>
        <v>204132.52999999997</v>
      </c>
      <c r="F492" s="6">
        <f>SUM(F484:F491)</f>
        <v>0</v>
      </c>
    </row>
    <row r="493" spans="1:6" x14ac:dyDescent="0.25">
      <c r="A493" s="1" t="s">
        <v>2</v>
      </c>
      <c r="B493" s="1" t="s">
        <v>2</v>
      </c>
      <c r="C493" s="1" t="s">
        <v>2</v>
      </c>
      <c r="D493" s="1" t="s">
        <v>2</v>
      </c>
      <c r="E493" s="1" t="s">
        <v>2</v>
      </c>
      <c r="F493" s="1" t="s">
        <v>2</v>
      </c>
    </row>
    <row r="494" spans="1:6" ht="15" customHeight="1" x14ac:dyDescent="0.25">
      <c r="A494" s="1" t="s">
        <v>289</v>
      </c>
      <c r="B494" s="1" t="s">
        <v>2</v>
      </c>
    </row>
    <row r="495" spans="1:6" ht="15" customHeight="1" x14ac:dyDescent="0.25">
      <c r="A495" s="2" t="s">
        <v>290</v>
      </c>
      <c r="B495" s="2" t="s">
        <v>291</v>
      </c>
      <c r="C495" s="3">
        <v>2565.69</v>
      </c>
      <c r="D495" s="3">
        <v>1984.9</v>
      </c>
      <c r="E495" s="3">
        <v>5241.1499999999996</v>
      </c>
      <c r="F495" s="5">
        <v>0</v>
      </c>
    </row>
    <row r="496" spans="1:6" ht="15" customHeight="1" x14ac:dyDescent="0.25">
      <c r="A496" s="2" t="s">
        <v>292</v>
      </c>
      <c r="B496" s="2" t="s">
        <v>293</v>
      </c>
      <c r="C496" s="3">
        <v>618.15</v>
      </c>
      <c r="D496" s="3">
        <v>595.98</v>
      </c>
      <c r="E496" s="3">
        <v>1613.21</v>
      </c>
      <c r="F496" s="5">
        <v>0</v>
      </c>
    </row>
    <row r="497" spans="1:6" ht="15" customHeight="1" x14ac:dyDescent="0.25">
      <c r="A497" s="2" t="s">
        <v>294</v>
      </c>
      <c r="B497" s="2" t="s">
        <v>295</v>
      </c>
      <c r="C497" s="3">
        <v>3.77</v>
      </c>
      <c r="D497" s="3">
        <v>4.29</v>
      </c>
      <c r="E497" s="3">
        <v>7.7</v>
      </c>
      <c r="F497" s="5">
        <v>0</v>
      </c>
    </row>
    <row r="498" spans="1:6" ht="15" customHeight="1" x14ac:dyDescent="0.25">
      <c r="A498" s="2" t="s">
        <v>296</v>
      </c>
      <c r="B498" s="2" t="s">
        <v>297</v>
      </c>
      <c r="C498" s="3">
        <v>57.91</v>
      </c>
      <c r="D498" s="3">
        <v>34.770000000000003</v>
      </c>
      <c r="E498" s="3">
        <v>138.08000000000001</v>
      </c>
      <c r="F498" s="5">
        <v>0</v>
      </c>
    </row>
    <row r="499" spans="1:6" ht="15" customHeight="1" x14ac:dyDescent="0.25">
      <c r="A499" s="2" t="s">
        <v>298</v>
      </c>
      <c r="B499" s="2" t="s">
        <v>299</v>
      </c>
      <c r="C499" s="3">
        <v>355.5</v>
      </c>
      <c r="D499" s="3">
        <v>228.73</v>
      </c>
      <c r="E499" s="3">
        <v>630.82000000000005</v>
      </c>
      <c r="F499" s="5">
        <v>0</v>
      </c>
    </row>
    <row r="500" spans="1:6" ht="15" customHeight="1" x14ac:dyDescent="0.25">
      <c r="A500" s="2" t="s">
        <v>300</v>
      </c>
      <c r="B500" s="2" t="s">
        <v>301</v>
      </c>
      <c r="C500" s="3">
        <v>193.72</v>
      </c>
      <c r="D500" s="3">
        <v>149.03</v>
      </c>
      <c r="E500" s="3">
        <v>400.95</v>
      </c>
      <c r="F500" s="5">
        <v>0</v>
      </c>
    </row>
    <row r="501" spans="1:6" ht="15" customHeight="1" x14ac:dyDescent="0.25">
      <c r="A501" s="2" t="s">
        <v>302</v>
      </c>
      <c r="B501" s="2" t="s">
        <v>303</v>
      </c>
      <c r="C501" s="3">
        <v>3628.9</v>
      </c>
      <c r="D501" s="3">
        <v>3092.16</v>
      </c>
      <c r="E501" s="3">
        <v>6200</v>
      </c>
      <c r="F501" s="5">
        <v>0</v>
      </c>
    </row>
    <row r="502" spans="1:6" ht="15" customHeight="1" x14ac:dyDescent="0.25">
      <c r="A502" s="2" t="s">
        <v>304</v>
      </c>
      <c r="B502" s="2" t="s">
        <v>305</v>
      </c>
      <c r="C502" s="3">
        <v>35381.199999999997</v>
      </c>
      <c r="D502" s="3">
        <v>10940.33</v>
      </c>
      <c r="E502" s="3">
        <v>36000</v>
      </c>
      <c r="F502" s="5">
        <v>0</v>
      </c>
    </row>
    <row r="503" spans="1:6" ht="15" customHeight="1" x14ac:dyDescent="0.25">
      <c r="A503" s="2" t="s">
        <v>306</v>
      </c>
      <c r="B503" s="2" t="s">
        <v>307</v>
      </c>
      <c r="C503" s="3">
        <v>9577.26</v>
      </c>
      <c r="D503" s="3">
        <v>509.02</v>
      </c>
      <c r="E503" s="3">
        <v>9000</v>
      </c>
      <c r="F503" s="5">
        <v>0</v>
      </c>
    </row>
    <row r="504" spans="1:6" ht="24" x14ac:dyDescent="0.25">
      <c r="A504" s="2" t="s">
        <v>308</v>
      </c>
      <c r="B504" s="2" t="s">
        <v>309</v>
      </c>
      <c r="C504" s="3">
        <v>0</v>
      </c>
      <c r="D504" s="3">
        <v>0</v>
      </c>
      <c r="E504" s="3">
        <v>0</v>
      </c>
      <c r="F504" s="5">
        <v>0</v>
      </c>
    </row>
    <row r="505" spans="1:6" x14ac:dyDescent="0.25">
      <c r="A505" s="2" t="s">
        <v>310</v>
      </c>
      <c r="B505" s="2" t="s">
        <v>311</v>
      </c>
      <c r="C505" s="3">
        <v>14708.23</v>
      </c>
      <c r="D505" s="3">
        <v>5199.3500000000004</v>
      </c>
      <c r="E505" s="3">
        <v>13800</v>
      </c>
      <c r="F505" s="5">
        <v>0</v>
      </c>
    </row>
    <row r="506" spans="1:6" x14ac:dyDescent="0.25">
      <c r="A506" s="2" t="s">
        <v>312</v>
      </c>
      <c r="B506" s="2" t="s">
        <v>313</v>
      </c>
      <c r="C506" s="3">
        <v>41530.550000000003</v>
      </c>
      <c r="D506" s="3">
        <v>15920.13</v>
      </c>
      <c r="E506" s="3">
        <v>20000</v>
      </c>
      <c r="F506" s="5">
        <v>0</v>
      </c>
    </row>
    <row r="507" spans="1:6" ht="15" customHeight="1" x14ac:dyDescent="0.25">
      <c r="A507" s="1" t="s">
        <v>314</v>
      </c>
      <c r="B507" s="1" t="s">
        <v>2</v>
      </c>
      <c r="C507" s="4">
        <v>108620.88</v>
      </c>
      <c r="D507" s="4">
        <v>38658.69</v>
      </c>
      <c r="E507" s="6">
        <f>SUM(E495:E506)</f>
        <v>93031.91</v>
      </c>
      <c r="F507" s="6">
        <f>SUM(F495:F506)</f>
        <v>0</v>
      </c>
    </row>
    <row r="508" spans="1:6" x14ac:dyDescent="0.25">
      <c r="A508" s="1" t="s">
        <v>2</v>
      </c>
      <c r="B508" s="1" t="s">
        <v>2</v>
      </c>
      <c r="C508" s="1" t="s">
        <v>2</v>
      </c>
      <c r="D508" s="1" t="s">
        <v>2</v>
      </c>
      <c r="E508" s="1" t="s">
        <v>2</v>
      </c>
      <c r="F508" s="1" t="s">
        <v>2</v>
      </c>
    </row>
    <row r="509" spans="1:6" ht="15" customHeight="1" x14ac:dyDescent="0.25">
      <c r="A509" s="1" t="s">
        <v>315</v>
      </c>
      <c r="B509" s="1" t="s">
        <v>2</v>
      </c>
    </row>
    <row r="510" spans="1:6" ht="15" customHeight="1" x14ac:dyDescent="0.25">
      <c r="A510" s="2" t="s">
        <v>316</v>
      </c>
      <c r="B510" s="2" t="s">
        <v>317</v>
      </c>
      <c r="C510" s="3">
        <v>127789.15</v>
      </c>
      <c r="D510" s="3">
        <v>81425.149999999994</v>
      </c>
      <c r="E510" s="3">
        <v>111067.59</v>
      </c>
      <c r="F510" s="5">
        <v>0</v>
      </c>
    </row>
    <row r="511" spans="1:6" ht="15" customHeight="1" x14ac:dyDescent="0.25">
      <c r="A511" s="2" t="s">
        <v>318</v>
      </c>
      <c r="B511" s="2" t="s">
        <v>319</v>
      </c>
      <c r="C511" s="3">
        <v>229065.14</v>
      </c>
      <c r="D511" s="3">
        <v>114070.76</v>
      </c>
      <c r="E511" s="3">
        <v>281501.12</v>
      </c>
      <c r="F511" s="5">
        <v>0</v>
      </c>
    </row>
    <row r="512" spans="1:6" ht="15" customHeight="1" x14ac:dyDescent="0.25">
      <c r="A512" s="2" t="s">
        <v>320</v>
      </c>
      <c r="B512" s="2" t="s">
        <v>321</v>
      </c>
      <c r="C512" s="3">
        <v>1974062.23</v>
      </c>
      <c r="D512" s="3">
        <v>939916.42</v>
      </c>
      <c r="E512" s="3">
        <v>2144084.14</v>
      </c>
      <c r="F512" s="5">
        <v>0</v>
      </c>
    </row>
    <row r="513" spans="1:11" x14ac:dyDescent="0.25">
      <c r="A513" s="2" t="s">
        <v>322</v>
      </c>
      <c r="B513" s="2" t="s">
        <v>323</v>
      </c>
      <c r="C513" s="3">
        <v>21219.14</v>
      </c>
      <c r="D513" s="3">
        <v>18166.830000000002</v>
      </c>
      <c r="E513" s="3">
        <v>32898.160000000003</v>
      </c>
      <c r="F513" s="5">
        <v>0</v>
      </c>
    </row>
    <row r="514" spans="1:11" ht="15" customHeight="1" x14ac:dyDescent="0.25">
      <c r="A514" s="2" t="s">
        <v>324</v>
      </c>
      <c r="B514" s="2" t="s">
        <v>325</v>
      </c>
      <c r="C514" s="3">
        <v>808.85</v>
      </c>
      <c r="D514" s="3">
        <v>0</v>
      </c>
      <c r="E514" s="3">
        <v>2512.7600000000002</v>
      </c>
      <c r="F514" s="5">
        <v>0</v>
      </c>
    </row>
    <row r="515" spans="1:11" x14ac:dyDescent="0.25">
      <c r="A515" s="2" t="s">
        <v>326</v>
      </c>
      <c r="B515" s="2" t="s">
        <v>327</v>
      </c>
      <c r="C515" s="3">
        <v>7560.63</v>
      </c>
      <c r="D515" s="3">
        <v>1390.66</v>
      </c>
      <c r="E515" s="3">
        <v>11419.54</v>
      </c>
      <c r="F515" s="5">
        <v>0</v>
      </c>
    </row>
    <row r="516" spans="1:11" ht="15" customHeight="1" x14ac:dyDescent="0.25">
      <c r="A516" s="2" t="s">
        <v>328</v>
      </c>
      <c r="B516" s="2" t="s">
        <v>329</v>
      </c>
      <c r="C516" s="3">
        <v>474651.54</v>
      </c>
      <c r="D516" s="3">
        <v>235057.47</v>
      </c>
      <c r="E516" s="3">
        <v>552623.68000000005</v>
      </c>
      <c r="F516" s="5">
        <v>0</v>
      </c>
    </row>
    <row r="517" spans="1:11" ht="15" customHeight="1" x14ac:dyDescent="0.25">
      <c r="A517" s="2" t="s">
        <v>330</v>
      </c>
      <c r="B517" s="2" t="s">
        <v>331</v>
      </c>
      <c r="C517" s="3">
        <v>60263.56</v>
      </c>
      <c r="D517" s="3">
        <v>22463.53</v>
      </c>
      <c r="E517" s="3">
        <v>70145.88</v>
      </c>
      <c r="F517" s="5">
        <v>0</v>
      </c>
    </row>
    <row r="518" spans="1:11" ht="15" customHeight="1" x14ac:dyDescent="0.25">
      <c r="A518" s="2" t="s">
        <v>332</v>
      </c>
      <c r="B518" s="2" t="s">
        <v>333</v>
      </c>
      <c r="C518" s="3">
        <v>129496.22</v>
      </c>
      <c r="D518" s="3">
        <v>62439.31</v>
      </c>
      <c r="E518" s="3">
        <v>142458</v>
      </c>
      <c r="F518" s="5">
        <v>0</v>
      </c>
    </row>
    <row r="519" spans="1:11" ht="15" customHeight="1" x14ac:dyDescent="0.25">
      <c r="A519" s="2" t="s">
        <v>334</v>
      </c>
      <c r="B519" s="2" t="s">
        <v>335</v>
      </c>
      <c r="C519" s="3">
        <v>150558.96</v>
      </c>
      <c r="D519" s="3">
        <v>72074.25</v>
      </c>
      <c r="E519" s="3">
        <v>164022.44</v>
      </c>
      <c r="F519" s="5">
        <v>0</v>
      </c>
    </row>
    <row r="520" spans="1:11" x14ac:dyDescent="0.25">
      <c r="A520" s="2" t="s">
        <v>336</v>
      </c>
      <c r="B520" s="2" t="s">
        <v>337</v>
      </c>
      <c r="C520" s="3">
        <v>159.99</v>
      </c>
      <c r="D520" s="3">
        <v>47.42</v>
      </c>
      <c r="E520" s="3">
        <v>389.41</v>
      </c>
      <c r="F520" s="5">
        <v>0</v>
      </c>
    </row>
    <row r="521" spans="1:11" ht="15" customHeight="1" x14ac:dyDescent="0.25">
      <c r="A521" s="2" t="s">
        <v>338</v>
      </c>
      <c r="B521" s="2" t="s">
        <v>339</v>
      </c>
      <c r="C521" s="3">
        <v>3125.15</v>
      </c>
      <c r="D521" s="3">
        <v>2241.9899999999998</v>
      </c>
      <c r="E521" s="3">
        <v>3383.91</v>
      </c>
      <c r="F521" s="5">
        <v>0</v>
      </c>
    </row>
    <row r="522" spans="1:11" ht="15" customHeight="1" x14ac:dyDescent="0.25">
      <c r="A522" s="2" t="s">
        <v>340</v>
      </c>
      <c r="B522" s="2" t="s">
        <v>341</v>
      </c>
      <c r="C522" s="3">
        <v>4938.83</v>
      </c>
      <c r="D522" s="3">
        <v>2460.13</v>
      </c>
      <c r="E522" s="3">
        <v>4637.6099999999997</v>
      </c>
      <c r="F522" s="5">
        <v>0</v>
      </c>
    </row>
    <row r="523" spans="1:11" ht="15" customHeight="1" x14ac:dyDescent="0.25">
      <c r="A523" s="2" t="s">
        <v>342</v>
      </c>
      <c r="B523" s="2" t="s">
        <v>343</v>
      </c>
      <c r="C523" s="3">
        <v>8390.52</v>
      </c>
      <c r="D523" s="3">
        <v>5394.76</v>
      </c>
      <c r="E523" s="3">
        <v>8758.01</v>
      </c>
      <c r="F523" s="5">
        <v>0</v>
      </c>
      <c r="J523" s="41"/>
      <c r="K523" s="41"/>
    </row>
    <row r="524" spans="1:11" ht="15" customHeight="1" x14ac:dyDescent="0.25">
      <c r="A524" s="2" t="s">
        <v>344</v>
      </c>
      <c r="B524" s="2" t="s">
        <v>345</v>
      </c>
      <c r="C524" s="3">
        <v>11934.85</v>
      </c>
      <c r="D524" s="3">
        <v>7658.79</v>
      </c>
      <c r="E524" s="3">
        <v>12079.2</v>
      </c>
      <c r="F524" s="5">
        <v>0</v>
      </c>
      <c r="K524" s="41"/>
    </row>
    <row r="525" spans="1:11" ht="15" customHeight="1" x14ac:dyDescent="0.25">
      <c r="A525" s="2" t="s">
        <v>346</v>
      </c>
      <c r="B525" s="2" t="s">
        <v>347</v>
      </c>
      <c r="C525" s="3">
        <v>75231.12</v>
      </c>
      <c r="D525" s="3">
        <v>34637.11</v>
      </c>
      <c r="E525" s="3">
        <v>129787.1</v>
      </c>
      <c r="F525" s="5">
        <v>0</v>
      </c>
      <c r="K525" s="41"/>
    </row>
    <row r="526" spans="1:11" ht="15" customHeight="1" x14ac:dyDescent="0.25">
      <c r="A526" s="2" t="s">
        <v>348</v>
      </c>
      <c r="B526" s="2" t="s">
        <v>349</v>
      </c>
      <c r="C526" s="3">
        <v>1025.52</v>
      </c>
      <c r="D526" s="3">
        <v>413.25</v>
      </c>
      <c r="E526" s="3">
        <v>1387.4</v>
      </c>
      <c r="F526" s="5">
        <v>0</v>
      </c>
      <c r="K526" s="41"/>
    </row>
    <row r="527" spans="1:11" ht="15" customHeight="1" x14ac:dyDescent="0.25">
      <c r="A527" s="2" t="s">
        <v>350</v>
      </c>
      <c r="B527" s="2" t="s">
        <v>351</v>
      </c>
      <c r="C527" s="3">
        <v>31314.36</v>
      </c>
      <c r="D527" s="3">
        <v>13157.74</v>
      </c>
      <c r="E527" s="3">
        <v>36353.86</v>
      </c>
      <c r="F527" s="5">
        <v>0</v>
      </c>
      <c r="K527" s="41"/>
    </row>
    <row r="528" spans="1:11" ht="15" customHeight="1" x14ac:dyDescent="0.25">
      <c r="A528" s="2" t="s">
        <v>352</v>
      </c>
      <c r="B528" s="2" t="s">
        <v>353</v>
      </c>
      <c r="C528" s="3">
        <v>17231.45</v>
      </c>
      <c r="D528" s="3">
        <v>8623.64</v>
      </c>
      <c r="E528" s="3">
        <v>21534.84</v>
      </c>
      <c r="F528" s="5">
        <v>0</v>
      </c>
      <c r="K528" s="41"/>
    </row>
    <row r="529" spans="1:6" ht="15" customHeight="1" x14ac:dyDescent="0.25">
      <c r="A529" s="2" t="s">
        <v>354</v>
      </c>
      <c r="B529" s="2" t="s">
        <v>355</v>
      </c>
      <c r="C529" s="3">
        <v>769.74</v>
      </c>
      <c r="D529" s="3">
        <v>645.03</v>
      </c>
      <c r="E529" s="3">
        <v>1992.79</v>
      </c>
      <c r="F529" s="5">
        <v>0</v>
      </c>
    </row>
    <row r="530" spans="1:6" ht="15" customHeight="1" x14ac:dyDescent="0.25">
      <c r="A530" s="2" t="s">
        <v>356</v>
      </c>
      <c r="B530" s="2" t="s">
        <v>357</v>
      </c>
      <c r="C530" s="3">
        <v>336.16</v>
      </c>
      <c r="D530" s="3">
        <v>244.1</v>
      </c>
      <c r="E530" s="3">
        <v>413.81</v>
      </c>
      <c r="F530" s="5">
        <v>0</v>
      </c>
    </row>
    <row r="531" spans="1:6" ht="15" customHeight="1" x14ac:dyDescent="0.25">
      <c r="A531" s="2" t="s">
        <v>358</v>
      </c>
      <c r="B531" s="2" t="s">
        <v>286</v>
      </c>
      <c r="C531" s="3">
        <v>11000</v>
      </c>
      <c r="D531" s="3">
        <v>11750</v>
      </c>
      <c r="E531" s="3">
        <v>23500</v>
      </c>
      <c r="F531" s="5">
        <v>0</v>
      </c>
    </row>
    <row r="532" spans="1:6" ht="15" customHeight="1" x14ac:dyDescent="0.25">
      <c r="A532" s="2" t="s">
        <v>359</v>
      </c>
      <c r="B532" s="2" t="s">
        <v>37</v>
      </c>
      <c r="C532" s="3">
        <v>5933.35</v>
      </c>
      <c r="D532" s="3">
        <v>1011.01</v>
      </c>
      <c r="E532" s="3">
        <v>5600</v>
      </c>
      <c r="F532" s="5">
        <v>0</v>
      </c>
    </row>
    <row r="533" spans="1:6" ht="15" customHeight="1" x14ac:dyDescent="0.25">
      <c r="A533" s="2" t="s">
        <v>360</v>
      </c>
      <c r="B533" s="2" t="s">
        <v>361</v>
      </c>
      <c r="C533" s="3">
        <v>15088.97</v>
      </c>
      <c r="D533" s="3">
        <v>25112.44</v>
      </c>
      <c r="E533" s="3">
        <v>82500</v>
      </c>
      <c r="F533" s="5">
        <v>0</v>
      </c>
    </row>
    <row r="534" spans="1:6" ht="15" customHeight="1" x14ac:dyDescent="0.25">
      <c r="A534" s="2" t="s">
        <v>362</v>
      </c>
      <c r="B534" s="2" t="s">
        <v>363</v>
      </c>
      <c r="C534" s="3">
        <v>48074.78</v>
      </c>
      <c r="D534" s="3">
        <v>11714.04</v>
      </c>
      <c r="E534" s="3">
        <v>30800</v>
      </c>
      <c r="F534" s="5">
        <v>0</v>
      </c>
    </row>
    <row r="535" spans="1:6" ht="15" customHeight="1" x14ac:dyDescent="0.25">
      <c r="A535" s="2" t="s">
        <v>364</v>
      </c>
      <c r="B535" s="2" t="s">
        <v>365</v>
      </c>
      <c r="C535" s="3">
        <v>4978.2</v>
      </c>
      <c r="D535" s="3">
        <v>0</v>
      </c>
      <c r="E535" s="3">
        <v>5000</v>
      </c>
      <c r="F535" s="5">
        <v>0</v>
      </c>
    </row>
    <row r="536" spans="1:6" ht="15" customHeight="1" x14ac:dyDescent="0.25">
      <c r="A536" s="2" t="s">
        <v>366</v>
      </c>
      <c r="B536" s="2" t="s">
        <v>367</v>
      </c>
      <c r="C536" s="3">
        <v>2194.0100000000002</v>
      </c>
      <c r="D536" s="3">
        <v>550.29</v>
      </c>
      <c r="E536" s="3">
        <v>1500</v>
      </c>
      <c r="F536" s="5">
        <v>0</v>
      </c>
    </row>
    <row r="537" spans="1:6" ht="15" customHeight="1" x14ac:dyDescent="0.25">
      <c r="A537" s="2" t="s">
        <v>368</v>
      </c>
      <c r="B537" s="2" t="s">
        <v>369</v>
      </c>
      <c r="C537" s="3">
        <v>5772.23</v>
      </c>
      <c r="D537" s="3">
        <v>214.26</v>
      </c>
      <c r="E537" s="3">
        <v>10000</v>
      </c>
      <c r="F537" s="5">
        <v>0</v>
      </c>
    </row>
    <row r="538" spans="1:6" ht="15" customHeight="1" x14ac:dyDescent="0.25">
      <c r="A538" s="2" t="s">
        <v>370</v>
      </c>
      <c r="B538" s="2" t="s">
        <v>43</v>
      </c>
      <c r="C538" s="3">
        <v>216318.87</v>
      </c>
      <c r="D538" s="3">
        <v>175498.05</v>
      </c>
      <c r="E538" s="3">
        <v>175466.06</v>
      </c>
      <c r="F538" s="5">
        <v>0</v>
      </c>
    </row>
    <row r="539" spans="1:6" x14ac:dyDescent="0.25">
      <c r="A539" s="2" t="s">
        <v>371</v>
      </c>
      <c r="B539" s="2" t="s">
        <v>372</v>
      </c>
      <c r="C539" s="3">
        <v>164220.85999999999</v>
      </c>
      <c r="D539" s="3">
        <v>201800.26</v>
      </c>
      <c r="E539" s="3">
        <v>201790.92</v>
      </c>
      <c r="F539" s="5">
        <v>0</v>
      </c>
    </row>
    <row r="540" spans="1:6" ht="15" customHeight="1" x14ac:dyDescent="0.25">
      <c r="A540" s="2" t="s">
        <v>373</v>
      </c>
      <c r="B540" s="2" t="s">
        <v>198</v>
      </c>
      <c r="C540" s="3">
        <v>97215.15</v>
      </c>
      <c r="D540" s="3">
        <v>80667.070000000007</v>
      </c>
      <c r="E540" s="3">
        <v>80667.070000000007</v>
      </c>
      <c r="F540" s="5">
        <v>0</v>
      </c>
    </row>
    <row r="541" spans="1:6" ht="15" customHeight="1" x14ac:dyDescent="0.25">
      <c r="A541" s="2" t="s">
        <v>374</v>
      </c>
      <c r="B541" s="2" t="s">
        <v>95</v>
      </c>
      <c r="C541" s="3">
        <v>12277.65</v>
      </c>
      <c r="D541" s="3">
        <v>9077.02</v>
      </c>
      <c r="E541" s="3">
        <v>10000</v>
      </c>
      <c r="F541" s="5">
        <v>0</v>
      </c>
    </row>
    <row r="542" spans="1:6" ht="15" customHeight="1" x14ac:dyDescent="0.25">
      <c r="A542" s="2" t="s">
        <v>375</v>
      </c>
      <c r="B542" s="2" t="s">
        <v>376</v>
      </c>
      <c r="C542" s="3">
        <v>2167</v>
      </c>
      <c r="D542" s="3">
        <v>455</v>
      </c>
      <c r="E542" s="3">
        <v>2100</v>
      </c>
      <c r="F542" s="5">
        <v>0</v>
      </c>
    </row>
    <row r="543" spans="1:6" x14ac:dyDescent="0.25">
      <c r="A543" s="2" t="s">
        <v>377</v>
      </c>
      <c r="B543" s="2" t="s">
        <v>378</v>
      </c>
      <c r="C543" s="3">
        <v>7676</v>
      </c>
      <c r="D543" s="3">
        <v>8167.27</v>
      </c>
      <c r="E543" s="3">
        <v>7676</v>
      </c>
      <c r="F543" s="5">
        <v>0</v>
      </c>
    </row>
    <row r="544" spans="1:6" ht="15" customHeight="1" x14ac:dyDescent="0.25">
      <c r="A544" s="2" t="s">
        <v>379</v>
      </c>
      <c r="B544" s="2" t="s">
        <v>380</v>
      </c>
      <c r="C544" s="3">
        <v>36912.480000000003</v>
      </c>
      <c r="D544" s="3">
        <v>12984.51</v>
      </c>
      <c r="E544" s="3">
        <v>38100</v>
      </c>
      <c r="F544" s="5">
        <v>0</v>
      </c>
    </row>
    <row r="545" spans="1:6" ht="15" customHeight="1" x14ac:dyDescent="0.25">
      <c r="A545" s="2" t="s">
        <v>381</v>
      </c>
      <c r="B545" s="2" t="s">
        <v>59</v>
      </c>
      <c r="C545" s="3">
        <v>1371.5</v>
      </c>
      <c r="D545" s="3">
        <v>812.37</v>
      </c>
      <c r="E545" s="3">
        <v>1200</v>
      </c>
      <c r="F545" s="5">
        <v>0</v>
      </c>
    </row>
    <row r="546" spans="1:6" ht="15" customHeight="1" x14ac:dyDescent="0.25">
      <c r="A546" s="2" t="s">
        <v>382</v>
      </c>
      <c r="B546" s="2" t="s">
        <v>17</v>
      </c>
      <c r="C546" s="3">
        <v>15712.72</v>
      </c>
      <c r="D546" s="3">
        <v>12833.19</v>
      </c>
      <c r="E546" s="3">
        <v>19500</v>
      </c>
      <c r="F546" s="5">
        <v>0</v>
      </c>
    </row>
    <row r="547" spans="1:6" ht="15" customHeight="1" x14ac:dyDescent="0.25">
      <c r="A547" s="2" t="s">
        <v>383</v>
      </c>
      <c r="B547" s="2" t="s">
        <v>66</v>
      </c>
      <c r="C547" s="3">
        <v>14051.62</v>
      </c>
      <c r="D547" s="3">
        <v>12964.35</v>
      </c>
      <c r="E547" s="3">
        <v>31000</v>
      </c>
      <c r="F547" s="5">
        <v>0</v>
      </c>
    </row>
    <row r="548" spans="1:6" ht="15" customHeight="1" x14ac:dyDescent="0.25">
      <c r="A548" s="2" t="s">
        <v>384</v>
      </c>
      <c r="B548" s="2" t="s">
        <v>144</v>
      </c>
      <c r="C548" s="3">
        <v>120</v>
      </c>
      <c r="D548" s="3">
        <v>223.89</v>
      </c>
      <c r="E548" s="3">
        <v>400</v>
      </c>
      <c r="F548" s="5">
        <v>0</v>
      </c>
    </row>
    <row r="549" spans="1:6" ht="15" customHeight="1" x14ac:dyDescent="0.25">
      <c r="A549" s="2" t="s">
        <v>385</v>
      </c>
      <c r="B549" s="2" t="s">
        <v>386</v>
      </c>
      <c r="C549" s="3">
        <v>7630.15</v>
      </c>
      <c r="D549" s="3">
        <v>3180.94</v>
      </c>
      <c r="E549" s="3">
        <v>7800</v>
      </c>
      <c r="F549" s="5">
        <v>0</v>
      </c>
    </row>
    <row r="550" spans="1:6" ht="15" customHeight="1" x14ac:dyDescent="0.25">
      <c r="A550" s="2" t="s">
        <v>387</v>
      </c>
      <c r="B550" s="2" t="s">
        <v>388</v>
      </c>
      <c r="C550" s="3">
        <v>15812.88</v>
      </c>
      <c r="D550" s="3">
        <v>3610.1</v>
      </c>
      <c r="E550" s="3">
        <v>11200</v>
      </c>
      <c r="F550" s="5">
        <v>0</v>
      </c>
    </row>
    <row r="551" spans="1:6" x14ac:dyDescent="0.25">
      <c r="A551" s="2" t="s">
        <v>389</v>
      </c>
      <c r="B551" s="2" t="s">
        <v>390</v>
      </c>
      <c r="C551" s="3">
        <v>12732.5</v>
      </c>
      <c r="D551" s="3">
        <v>2990</v>
      </c>
      <c r="E551" s="3">
        <v>13000</v>
      </c>
      <c r="F551" s="5">
        <v>0</v>
      </c>
    </row>
    <row r="552" spans="1:6" x14ac:dyDescent="0.25">
      <c r="A552" s="2" t="s">
        <v>391</v>
      </c>
      <c r="B552" s="2" t="s">
        <v>392</v>
      </c>
      <c r="C552" s="3">
        <v>0</v>
      </c>
      <c r="D552" s="3">
        <v>0</v>
      </c>
      <c r="E552" s="3">
        <v>2000</v>
      </c>
      <c r="F552" s="5">
        <v>0</v>
      </c>
    </row>
    <row r="553" spans="1:6" ht="15" customHeight="1" x14ac:dyDescent="0.25">
      <c r="A553" s="2" t="s">
        <v>393</v>
      </c>
      <c r="B553" s="2" t="s">
        <v>64</v>
      </c>
      <c r="C553" s="3">
        <v>6751.57</v>
      </c>
      <c r="D553" s="3">
        <v>2159.6999999999998</v>
      </c>
      <c r="E553" s="3">
        <v>10100</v>
      </c>
      <c r="F553" s="5">
        <v>0</v>
      </c>
    </row>
    <row r="554" spans="1:6" ht="15" customHeight="1" x14ac:dyDescent="0.25">
      <c r="A554" s="2" t="s">
        <v>394</v>
      </c>
      <c r="B554" s="2" t="s">
        <v>395</v>
      </c>
      <c r="C554" s="3">
        <v>1075.98</v>
      </c>
      <c r="D554" s="3">
        <v>345.7</v>
      </c>
      <c r="E554" s="3">
        <v>2500</v>
      </c>
      <c r="F554" s="5">
        <v>0</v>
      </c>
    </row>
    <row r="555" spans="1:6" ht="15" customHeight="1" x14ac:dyDescent="0.25">
      <c r="A555" s="2" t="s">
        <v>396</v>
      </c>
      <c r="B555" s="2" t="s">
        <v>397</v>
      </c>
      <c r="C555" s="3">
        <v>0</v>
      </c>
      <c r="D555" s="3">
        <v>0</v>
      </c>
      <c r="E555" s="3">
        <v>500</v>
      </c>
      <c r="F555" s="5">
        <v>0</v>
      </c>
    </row>
    <row r="556" spans="1:6" ht="15" customHeight="1" x14ac:dyDescent="0.25">
      <c r="A556" s="2" t="s">
        <v>398</v>
      </c>
      <c r="B556" s="2" t="s">
        <v>399</v>
      </c>
      <c r="C556" s="3">
        <v>204.95</v>
      </c>
      <c r="D556" s="3">
        <v>0</v>
      </c>
      <c r="E556" s="3">
        <v>3500</v>
      </c>
      <c r="F556" s="5">
        <v>0</v>
      </c>
    </row>
    <row r="557" spans="1:6" ht="15" customHeight="1" x14ac:dyDescent="0.25">
      <c r="A557" s="2" t="s">
        <v>400</v>
      </c>
      <c r="B557" s="2" t="s">
        <v>401</v>
      </c>
      <c r="C557" s="3">
        <v>0</v>
      </c>
      <c r="D557" s="3">
        <v>0</v>
      </c>
      <c r="E557" s="3">
        <v>1000</v>
      </c>
      <c r="F557" s="5">
        <v>0</v>
      </c>
    </row>
    <row r="558" spans="1:6" ht="24" x14ac:dyDescent="0.25">
      <c r="A558" s="2" t="s">
        <v>402</v>
      </c>
      <c r="B558" s="2" t="s">
        <v>403</v>
      </c>
      <c r="C558" s="3">
        <v>0</v>
      </c>
      <c r="D558" s="3">
        <v>0</v>
      </c>
      <c r="E558" s="3">
        <v>2000</v>
      </c>
      <c r="F558" s="5">
        <v>0</v>
      </c>
    </row>
    <row r="559" spans="1:6" ht="24" x14ac:dyDescent="0.25">
      <c r="A559" s="2" t="s">
        <v>404</v>
      </c>
      <c r="B559" s="2" t="s">
        <v>405</v>
      </c>
      <c r="C559" s="3">
        <v>489.15</v>
      </c>
      <c r="D559" s="3">
        <v>0</v>
      </c>
      <c r="E559" s="3">
        <v>0</v>
      </c>
      <c r="F559" s="5">
        <v>0</v>
      </c>
    </row>
    <row r="560" spans="1:6" ht="24" x14ac:dyDescent="0.25">
      <c r="A560" s="2" t="s">
        <v>406</v>
      </c>
      <c r="B560" s="2" t="s">
        <v>407</v>
      </c>
      <c r="C560" s="3">
        <v>3255.57</v>
      </c>
      <c r="D560" s="3">
        <v>0</v>
      </c>
      <c r="E560" s="3">
        <v>0</v>
      </c>
      <c r="F560" s="5">
        <v>0</v>
      </c>
    </row>
    <row r="561" spans="1:10" ht="15" customHeight="1" x14ac:dyDescent="0.25">
      <c r="A561" s="2" t="s">
        <v>408</v>
      </c>
      <c r="B561" s="2" t="s">
        <v>409</v>
      </c>
      <c r="C561" s="3">
        <v>0</v>
      </c>
      <c r="D561" s="3">
        <v>0</v>
      </c>
      <c r="E561" s="3">
        <v>1600</v>
      </c>
      <c r="F561" s="5">
        <v>0</v>
      </c>
    </row>
    <row r="562" spans="1:10" ht="15" customHeight="1" x14ac:dyDescent="0.25">
      <c r="A562" s="2" t="s">
        <v>410</v>
      </c>
      <c r="B562" s="2" t="s">
        <v>411</v>
      </c>
      <c r="C562" s="3">
        <v>166824</v>
      </c>
      <c r="D562" s="3">
        <v>52807.5</v>
      </c>
      <c r="E562" s="3">
        <v>175330</v>
      </c>
      <c r="F562" s="5">
        <v>0</v>
      </c>
    </row>
    <row r="563" spans="1:10" ht="15" customHeight="1" x14ac:dyDescent="0.25">
      <c r="A563" s="2" t="s">
        <v>412</v>
      </c>
      <c r="B563" s="2" t="s">
        <v>413</v>
      </c>
      <c r="C563" s="3">
        <v>2400</v>
      </c>
      <c r="D563" s="3">
        <v>918</v>
      </c>
      <c r="E563" s="3">
        <v>2700</v>
      </c>
      <c r="F563" s="5">
        <v>0</v>
      </c>
    </row>
    <row r="564" spans="1:10" ht="15" customHeight="1" x14ac:dyDescent="0.25">
      <c r="A564" s="1" t="s">
        <v>414</v>
      </c>
      <c r="B564" s="1" t="s">
        <v>2</v>
      </c>
      <c r="C564" s="4">
        <v>4208195.25</v>
      </c>
      <c r="D564" s="4">
        <v>2254375.2999999998</v>
      </c>
      <c r="E564" s="6">
        <f>SUM(E510:E563)</f>
        <v>4693481.3000000007</v>
      </c>
      <c r="F564" s="6">
        <f>SUM(F510:F563)</f>
        <v>0</v>
      </c>
    </row>
    <row r="565" spans="1:10" ht="15" customHeight="1" x14ac:dyDescent="0.25">
      <c r="A565" s="1"/>
      <c r="B565" s="1"/>
      <c r="C565" s="4"/>
      <c r="D565" s="4"/>
      <c r="E565" s="6"/>
      <c r="F565" s="6"/>
    </row>
    <row r="566" spans="1:10" ht="15" customHeight="1" x14ac:dyDescent="0.25">
      <c r="A566" s="1" t="s">
        <v>2549</v>
      </c>
      <c r="B566" s="1"/>
      <c r="C566" s="6">
        <f t="shared" ref="C566:E566" si="0">C564+C507+C492</f>
        <v>4511469.5199999996</v>
      </c>
      <c r="D566" s="6">
        <f t="shared" si="0"/>
        <v>2383532.3199999998</v>
      </c>
      <c r="E566" s="6">
        <f t="shared" si="0"/>
        <v>4990645.7400000012</v>
      </c>
      <c r="F566" s="6">
        <f>F564+F507+F492</f>
        <v>0</v>
      </c>
      <c r="J566" s="41"/>
    </row>
    <row r="567" spans="1:10" x14ac:dyDescent="0.25">
      <c r="A567" s="1" t="s">
        <v>2</v>
      </c>
      <c r="B567" s="1" t="s">
        <v>2</v>
      </c>
      <c r="C567" s="1" t="s">
        <v>2</v>
      </c>
      <c r="D567" s="1" t="s">
        <v>2</v>
      </c>
      <c r="E567" s="1" t="s">
        <v>2</v>
      </c>
      <c r="F567" s="1" t="s">
        <v>2</v>
      </c>
      <c r="J567" s="41"/>
    </row>
    <row r="568" spans="1:10" ht="15" customHeight="1" x14ac:dyDescent="0.25">
      <c r="A568" s="1" t="s">
        <v>415</v>
      </c>
      <c r="B568" s="1" t="s">
        <v>2</v>
      </c>
      <c r="J568" s="41"/>
    </row>
    <row r="569" spans="1:10" ht="15" customHeight="1" x14ac:dyDescent="0.25">
      <c r="A569" s="2" t="s">
        <v>416</v>
      </c>
      <c r="B569" s="2" t="s">
        <v>417</v>
      </c>
      <c r="C569" s="3">
        <v>95963.83</v>
      </c>
      <c r="D569" s="3">
        <v>46738.51</v>
      </c>
      <c r="E569" s="3">
        <v>100608.61</v>
      </c>
      <c r="F569" s="5">
        <v>0</v>
      </c>
      <c r="J569" s="41"/>
    </row>
    <row r="570" spans="1:10" ht="15" customHeight="1" x14ac:dyDescent="0.25">
      <c r="A570" s="2" t="s">
        <v>418</v>
      </c>
      <c r="B570" s="2" t="s">
        <v>29</v>
      </c>
      <c r="C570" s="3">
        <v>1673.6</v>
      </c>
      <c r="D570" s="3">
        <v>764.48</v>
      </c>
      <c r="E570" s="3">
        <v>1725.56</v>
      </c>
      <c r="F570" s="5">
        <v>0</v>
      </c>
      <c r="J570" s="41"/>
    </row>
    <row r="571" spans="1:10" ht="15" customHeight="1" x14ac:dyDescent="0.25">
      <c r="A571" s="2" t="s">
        <v>419</v>
      </c>
      <c r="B571" s="2" t="s">
        <v>31</v>
      </c>
      <c r="C571" s="3">
        <v>227.17</v>
      </c>
      <c r="D571" s="3">
        <v>98.12</v>
      </c>
      <c r="E571" s="3">
        <v>277.48</v>
      </c>
      <c r="F571" s="5">
        <v>0</v>
      </c>
      <c r="J571" s="41"/>
    </row>
    <row r="572" spans="1:10" ht="15" customHeight="1" x14ac:dyDescent="0.25">
      <c r="A572" s="2" t="s">
        <v>420</v>
      </c>
      <c r="B572" s="2" t="s">
        <v>33</v>
      </c>
      <c r="C572" s="3">
        <v>11224.42</v>
      </c>
      <c r="D572" s="3">
        <v>5121.03</v>
      </c>
      <c r="E572" s="3">
        <v>10754.83</v>
      </c>
      <c r="F572" s="5">
        <v>0</v>
      </c>
      <c r="J572" s="41"/>
    </row>
    <row r="573" spans="1:10" ht="15" customHeight="1" x14ac:dyDescent="0.25">
      <c r="A573" s="2" t="s">
        <v>421</v>
      </c>
      <c r="B573" s="2" t="s">
        <v>11</v>
      </c>
      <c r="C573" s="3">
        <v>7341.22</v>
      </c>
      <c r="D573" s="3">
        <v>3575.51</v>
      </c>
      <c r="E573" s="3">
        <v>7696.56</v>
      </c>
      <c r="F573" s="5">
        <v>0</v>
      </c>
      <c r="J573" s="41"/>
    </row>
    <row r="574" spans="1:10" ht="15" customHeight="1" x14ac:dyDescent="0.25">
      <c r="A574" s="2" t="s">
        <v>422</v>
      </c>
      <c r="B574" s="2" t="s">
        <v>423</v>
      </c>
      <c r="C574" s="3">
        <v>140.83000000000001</v>
      </c>
      <c r="D574" s="3">
        <v>99.84</v>
      </c>
      <c r="E574" s="3">
        <v>147.88999999999999</v>
      </c>
      <c r="F574" s="5">
        <v>0</v>
      </c>
    </row>
    <row r="575" spans="1:10" ht="15" customHeight="1" x14ac:dyDescent="0.25">
      <c r="A575" s="2" t="s">
        <v>424</v>
      </c>
      <c r="B575" s="2" t="s">
        <v>37</v>
      </c>
      <c r="C575" s="3">
        <v>558.83000000000004</v>
      </c>
      <c r="D575" s="3">
        <v>0</v>
      </c>
      <c r="E575" s="3">
        <v>250</v>
      </c>
      <c r="F575" s="5">
        <v>0</v>
      </c>
    </row>
    <row r="576" spans="1:10" ht="15" customHeight="1" x14ac:dyDescent="0.25">
      <c r="A576" s="2" t="s">
        <v>425</v>
      </c>
      <c r="B576" s="2" t="s">
        <v>426</v>
      </c>
      <c r="C576" s="3">
        <v>0</v>
      </c>
      <c r="D576" s="3">
        <v>0</v>
      </c>
      <c r="E576" s="3">
        <v>350</v>
      </c>
      <c r="F576" s="5">
        <v>0</v>
      </c>
    </row>
    <row r="577" spans="1:6" ht="15" customHeight="1" x14ac:dyDescent="0.25">
      <c r="A577" s="2" t="s">
        <v>427</v>
      </c>
      <c r="B577" s="2" t="s">
        <v>198</v>
      </c>
      <c r="C577" s="3">
        <v>1067.74</v>
      </c>
      <c r="D577" s="3">
        <v>1265.71</v>
      </c>
      <c r="E577" s="3">
        <v>1265.71</v>
      </c>
      <c r="F577" s="5">
        <v>0</v>
      </c>
    </row>
    <row r="578" spans="1:6" ht="15" customHeight="1" x14ac:dyDescent="0.25">
      <c r="A578" s="2" t="s">
        <v>428</v>
      </c>
      <c r="B578" s="2" t="s">
        <v>95</v>
      </c>
      <c r="C578" s="3">
        <v>145.19999999999999</v>
      </c>
      <c r="D578" s="3">
        <v>28.9</v>
      </c>
      <c r="E578" s="3">
        <v>2000</v>
      </c>
      <c r="F578" s="5">
        <v>0</v>
      </c>
    </row>
    <row r="579" spans="1:6" ht="15" customHeight="1" x14ac:dyDescent="0.25">
      <c r="A579" s="2" t="s">
        <v>429</v>
      </c>
      <c r="B579" s="2" t="s">
        <v>17</v>
      </c>
      <c r="C579" s="3">
        <v>0</v>
      </c>
      <c r="D579" s="3">
        <v>0</v>
      </c>
      <c r="E579" s="3">
        <v>850</v>
      </c>
      <c r="F579" s="5">
        <v>0</v>
      </c>
    </row>
    <row r="580" spans="1:6" ht="15" customHeight="1" x14ac:dyDescent="0.25">
      <c r="A580" s="2" t="s">
        <v>430</v>
      </c>
      <c r="B580" s="2" t="s">
        <v>64</v>
      </c>
      <c r="C580" s="3">
        <v>40</v>
      </c>
      <c r="D580" s="3">
        <v>40</v>
      </c>
      <c r="E580" s="3">
        <v>350</v>
      </c>
      <c r="F580" s="5">
        <v>0</v>
      </c>
    </row>
    <row r="581" spans="1:6" ht="15" customHeight="1" x14ac:dyDescent="0.25">
      <c r="A581" s="2" t="s">
        <v>431</v>
      </c>
      <c r="B581" s="2" t="s">
        <v>66</v>
      </c>
      <c r="C581" s="3">
        <v>0</v>
      </c>
      <c r="D581" s="3">
        <v>0</v>
      </c>
      <c r="E581" s="3">
        <v>200</v>
      </c>
      <c r="F581" s="5">
        <v>0</v>
      </c>
    </row>
    <row r="582" spans="1:6" ht="15" customHeight="1" x14ac:dyDescent="0.25">
      <c r="A582" s="2"/>
      <c r="B582" s="2"/>
      <c r="C582" s="3"/>
      <c r="D582" s="3"/>
      <c r="E582" s="3"/>
      <c r="F582" s="5"/>
    </row>
    <row r="583" spans="1:6" ht="15" customHeight="1" x14ac:dyDescent="0.25">
      <c r="A583" s="1" t="s">
        <v>432</v>
      </c>
      <c r="B583" s="1" t="s">
        <v>2</v>
      </c>
    </row>
    <row r="584" spans="1:6" ht="15" customHeight="1" x14ac:dyDescent="0.25">
      <c r="A584" s="2" t="s">
        <v>433</v>
      </c>
      <c r="B584" s="2" t="s">
        <v>434</v>
      </c>
      <c r="C584" s="3">
        <v>218619.71</v>
      </c>
      <c r="D584" s="3">
        <v>77113.570000000007</v>
      </c>
      <c r="E584" s="3">
        <v>260000</v>
      </c>
      <c r="F584" s="5">
        <v>0</v>
      </c>
    </row>
    <row r="585" spans="1:6" ht="15" customHeight="1" x14ac:dyDescent="0.25">
      <c r="A585" s="1" t="s">
        <v>435</v>
      </c>
      <c r="B585" s="1" t="s">
        <v>2</v>
      </c>
      <c r="C585" s="4">
        <v>218619.71</v>
      </c>
      <c r="D585" s="4">
        <v>77113.570000000007</v>
      </c>
      <c r="E585" s="6">
        <f>SUM(E584)</f>
        <v>260000</v>
      </c>
      <c r="F585" s="6">
        <f>SUM(F584)</f>
        <v>0</v>
      </c>
    </row>
    <row r="586" spans="1:6" x14ac:dyDescent="0.25">
      <c r="A586" s="1" t="s">
        <v>2</v>
      </c>
      <c r="B586" s="1" t="s">
        <v>2</v>
      </c>
      <c r="C586" s="1" t="s">
        <v>2</v>
      </c>
      <c r="D586" s="1" t="s">
        <v>2</v>
      </c>
      <c r="E586" s="1" t="s">
        <v>2</v>
      </c>
      <c r="F586" s="1" t="s">
        <v>2</v>
      </c>
    </row>
    <row r="587" spans="1:6" ht="15" customHeight="1" x14ac:dyDescent="0.25">
      <c r="A587" s="1" t="s">
        <v>436</v>
      </c>
      <c r="B587" s="1" t="s">
        <v>2</v>
      </c>
      <c r="C587" s="4">
        <v>337002.55</v>
      </c>
      <c r="D587" s="4">
        <v>134845.67000000001</v>
      </c>
      <c r="E587" s="6">
        <f>SUM(E569:E581)+E585</f>
        <v>386476.64</v>
      </c>
      <c r="F587" s="6">
        <f>SUM(F569:F581)+F585</f>
        <v>0</v>
      </c>
    </row>
    <row r="588" spans="1:6" x14ac:dyDescent="0.25">
      <c r="A588" s="1" t="s">
        <v>2</v>
      </c>
      <c r="B588" s="1" t="s">
        <v>2</v>
      </c>
      <c r="C588" s="1" t="s">
        <v>2</v>
      </c>
      <c r="D588" s="1" t="s">
        <v>2</v>
      </c>
      <c r="E588" s="1" t="s">
        <v>2</v>
      </c>
      <c r="F588" s="1" t="s">
        <v>2</v>
      </c>
    </row>
    <row r="589" spans="1:6" ht="15" customHeight="1" x14ac:dyDescent="0.25">
      <c r="A589" s="1" t="s">
        <v>437</v>
      </c>
      <c r="B589" s="1" t="s">
        <v>2</v>
      </c>
    </row>
    <row r="590" spans="1:6" x14ac:dyDescent="0.25">
      <c r="A590" s="2" t="s">
        <v>438</v>
      </c>
      <c r="B590" s="2" t="s">
        <v>439</v>
      </c>
      <c r="C590" s="3">
        <v>0</v>
      </c>
      <c r="D590" s="3">
        <v>0</v>
      </c>
      <c r="E590" s="3">
        <v>93125.16</v>
      </c>
      <c r="F590" s="5">
        <v>0</v>
      </c>
    </row>
    <row r="591" spans="1:6" ht="15" customHeight="1" x14ac:dyDescent="0.25">
      <c r="A591" s="2" t="s">
        <v>440</v>
      </c>
      <c r="B591" s="2" t="s">
        <v>441</v>
      </c>
      <c r="C591" s="3">
        <v>74675.75</v>
      </c>
      <c r="D591" s="3">
        <v>36195.89</v>
      </c>
      <c r="E591" s="3">
        <v>76630.48</v>
      </c>
      <c r="F591" s="5">
        <v>0</v>
      </c>
    </row>
    <row r="592" spans="1:6" ht="15" customHeight="1" x14ac:dyDescent="0.25">
      <c r="A592" s="2" t="s">
        <v>442</v>
      </c>
      <c r="B592" s="2" t="s">
        <v>443</v>
      </c>
      <c r="C592" s="3">
        <v>170232.37</v>
      </c>
      <c r="D592" s="3">
        <v>80686.12</v>
      </c>
      <c r="E592" s="3">
        <v>84235.13</v>
      </c>
      <c r="F592" s="5">
        <v>0</v>
      </c>
    </row>
    <row r="593" spans="1:6" ht="15" customHeight="1" x14ac:dyDescent="0.25">
      <c r="A593" s="2" t="s">
        <v>444</v>
      </c>
      <c r="B593" s="2" t="s">
        <v>445</v>
      </c>
      <c r="C593" s="3">
        <v>65834.2</v>
      </c>
      <c r="D593" s="3">
        <v>30961.55</v>
      </c>
      <c r="E593" s="3">
        <v>68358.16</v>
      </c>
      <c r="F593" s="5">
        <v>0</v>
      </c>
    </row>
    <row r="594" spans="1:6" ht="15" customHeight="1" x14ac:dyDescent="0.25">
      <c r="A594" s="2" t="s">
        <v>446</v>
      </c>
      <c r="B594" s="2" t="s">
        <v>447</v>
      </c>
      <c r="C594" s="3">
        <v>50115.93</v>
      </c>
      <c r="D594" s="3">
        <v>24309.82</v>
      </c>
      <c r="E594" s="3">
        <v>53697.06</v>
      </c>
      <c r="F594" s="5">
        <v>0</v>
      </c>
    </row>
    <row r="595" spans="1:6" ht="15" customHeight="1" x14ac:dyDescent="0.25">
      <c r="A595" s="2" t="s">
        <v>448</v>
      </c>
      <c r="B595" s="2" t="s">
        <v>449</v>
      </c>
      <c r="C595" s="3">
        <v>5776.2</v>
      </c>
      <c r="D595" s="3">
        <v>1951.09</v>
      </c>
      <c r="E595" s="3">
        <v>6195.28</v>
      </c>
      <c r="F595" s="5">
        <v>0</v>
      </c>
    </row>
    <row r="596" spans="1:6" ht="15" customHeight="1" x14ac:dyDescent="0.25">
      <c r="A596" s="2" t="s">
        <v>450</v>
      </c>
      <c r="B596" s="2" t="s">
        <v>451</v>
      </c>
      <c r="C596" s="3">
        <v>40079.78</v>
      </c>
      <c r="D596" s="3">
        <v>17266.61</v>
      </c>
      <c r="E596" s="3">
        <v>36867.5</v>
      </c>
      <c r="F596" s="5">
        <v>0</v>
      </c>
    </row>
    <row r="597" spans="1:6" ht="15" customHeight="1" x14ac:dyDescent="0.25">
      <c r="A597" s="2" t="s">
        <v>452</v>
      </c>
      <c r="B597" s="2" t="s">
        <v>453</v>
      </c>
      <c r="C597" s="3">
        <v>23622.799999999999</v>
      </c>
      <c r="D597" s="3">
        <v>11237.02</v>
      </c>
      <c r="E597" s="3">
        <v>24659.69</v>
      </c>
      <c r="F597" s="5">
        <v>0</v>
      </c>
    </row>
    <row r="598" spans="1:6" ht="15" customHeight="1" x14ac:dyDescent="0.25">
      <c r="A598" s="2" t="s">
        <v>454</v>
      </c>
      <c r="B598" s="2" t="s">
        <v>455</v>
      </c>
      <c r="C598" s="3">
        <v>455.71</v>
      </c>
      <c r="D598" s="3">
        <v>315.72000000000003</v>
      </c>
      <c r="E598" s="3">
        <v>473.85</v>
      </c>
      <c r="F598" s="5">
        <v>0</v>
      </c>
    </row>
    <row r="599" spans="1:6" ht="15" customHeight="1" x14ac:dyDescent="0.25">
      <c r="A599" s="2" t="s">
        <v>456</v>
      </c>
      <c r="B599" s="2" t="s">
        <v>85</v>
      </c>
      <c r="C599" s="3">
        <v>3300</v>
      </c>
      <c r="D599" s="3">
        <v>3300</v>
      </c>
      <c r="E599" s="3">
        <v>3300</v>
      </c>
      <c r="F599" s="5">
        <v>0</v>
      </c>
    </row>
    <row r="600" spans="1:6" ht="15" customHeight="1" x14ac:dyDescent="0.25">
      <c r="A600" s="2" t="s">
        <v>457</v>
      </c>
      <c r="B600" s="2" t="s">
        <v>458</v>
      </c>
      <c r="C600" s="3">
        <v>825</v>
      </c>
      <c r="D600" s="3">
        <v>313.08</v>
      </c>
      <c r="E600" s="3">
        <v>825</v>
      </c>
      <c r="F600" s="5">
        <v>0</v>
      </c>
    </row>
    <row r="601" spans="1:6" ht="15" customHeight="1" x14ac:dyDescent="0.25">
      <c r="A601" s="2" t="s">
        <v>459</v>
      </c>
      <c r="B601" s="2" t="s">
        <v>37</v>
      </c>
      <c r="C601" s="3">
        <v>272.8</v>
      </c>
      <c r="D601" s="3">
        <v>143.86000000000001</v>
      </c>
      <c r="E601" s="3">
        <v>1000</v>
      </c>
      <c r="F601" s="5">
        <v>0</v>
      </c>
    </row>
    <row r="602" spans="1:6" ht="15" customHeight="1" x14ac:dyDescent="0.25">
      <c r="A602" s="2" t="s">
        <v>460</v>
      </c>
      <c r="B602" s="2" t="s">
        <v>39</v>
      </c>
      <c r="C602" s="3">
        <v>0</v>
      </c>
      <c r="D602" s="3">
        <v>16.850000000000001</v>
      </c>
      <c r="E602" s="3">
        <v>0</v>
      </c>
      <c r="F602" s="5">
        <v>0</v>
      </c>
    </row>
    <row r="603" spans="1:6" ht="15" customHeight="1" x14ac:dyDescent="0.25">
      <c r="A603" s="2" t="s">
        <v>461</v>
      </c>
      <c r="B603" s="2" t="s">
        <v>462</v>
      </c>
      <c r="C603" s="3">
        <v>0</v>
      </c>
      <c r="D603" s="3">
        <v>0</v>
      </c>
      <c r="E603" s="3">
        <v>1000</v>
      </c>
      <c r="F603" s="5">
        <v>0</v>
      </c>
    </row>
    <row r="604" spans="1:6" ht="15" customHeight="1" x14ac:dyDescent="0.25">
      <c r="A604" s="2" t="s">
        <v>463</v>
      </c>
      <c r="B604" s="2" t="s">
        <v>464</v>
      </c>
      <c r="C604" s="3">
        <v>0</v>
      </c>
      <c r="D604" s="3">
        <v>0</v>
      </c>
      <c r="E604" s="3">
        <v>0</v>
      </c>
      <c r="F604" s="5">
        <v>0</v>
      </c>
    </row>
    <row r="605" spans="1:6" x14ac:dyDescent="0.25">
      <c r="A605" s="2" t="s">
        <v>465</v>
      </c>
      <c r="B605" s="2" t="s">
        <v>466</v>
      </c>
      <c r="C605" s="3">
        <v>15259.5</v>
      </c>
      <c r="D605" s="3">
        <v>9272.7999999999993</v>
      </c>
      <c r="E605" s="3">
        <v>9272.7999999999993</v>
      </c>
      <c r="F605" s="5">
        <v>0</v>
      </c>
    </row>
    <row r="606" spans="1:6" x14ac:dyDescent="0.25">
      <c r="A606" s="2" t="s">
        <v>467</v>
      </c>
      <c r="B606" s="2" t="s">
        <v>468</v>
      </c>
      <c r="C606" s="3">
        <v>14695.12</v>
      </c>
      <c r="D606" s="3">
        <v>5062.84</v>
      </c>
      <c r="E606" s="3">
        <v>5062.84</v>
      </c>
      <c r="F606" s="5">
        <v>0</v>
      </c>
    </row>
    <row r="607" spans="1:6" ht="15" customHeight="1" x14ac:dyDescent="0.25">
      <c r="A607" s="2" t="s">
        <v>469</v>
      </c>
      <c r="B607" s="2" t="s">
        <v>57</v>
      </c>
      <c r="C607" s="3">
        <v>3743.33</v>
      </c>
      <c r="D607" s="3">
        <v>1084.0999999999999</v>
      </c>
      <c r="E607" s="3">
        <v>3800</v>
      </c>
      <c r="F607" s="5">
        <v>0</v>
      </c>
    </row>
    <row r="608" spans="1:6" ht="15" customHeight="1" x14ac:dyDescent="0.25">
      <c r="A608" s="2" t="s">
        <v>470</v>
      </c>
      <c r="B608" s="2" t="s">
        <v>17</v>
      </c>
      <c r="C608" s="3">
        <v>917.09</v>
      </c>
      <c r="D608" s="3">
        <v>1363.28</v>
      </c>
      <c r="E608" s="3">
        <v>3000</v>
      </c>
      <c r="F608" s="5">
        <v>0</v>
      </c>
    </row>
    <row r="609" spans="1:6" ht="15" customHeight="1" x14ac:dyDescent="0.25">
      <c r="A609" s="2" t="s">
        <v>471</v>
      </c>
      <c r="B609" s="2" t="s">
        <v>472</v>
      </c>
      <c r="C609" s="3">
        <v>0</v>
      </c>
      <c r="D609" s="3">
        <v>0</v>
      </c>
      <c r="E609" s="3">
        <v>0</v>
      </c>
      <c r="F609" s="5">
        <v>0</v>
      </c>
    </row>
    <row r="610" spans="1:6" ht="15" customHeight="1" x14ac:dyDescent="0.25">
      <c r="A610" s="2" t="s">
        <v>473</v>
      </c>
      <c r="B610" s="2" t="s">
        <v>64</v>
      </c>
      <c r="C610" s="3">
        <v>2380.5500000000002</v>
      </c>
      <c r="D610" s="3">
        <v>277</v>
      </c>
      <c r="E610" s="3">
        <v>2000</v>
      </c>
      <c r="F610" s="5">
        <v>0</v>
      </c>
    </row>
    <row r="611" spans="1:6" ht="15" customHeight="1" x14ac:dyDescent="0.25">
      <c r="A611" s="2" t="s">
        <v>474</v>
      </c>
      <c r="B611" s="2" t="s">
        <v>66</v>
      </c>
      <c r="C611" s="3">
        <v>1190.8699999999999</v>
      </c>
      <c r="D611" s="3">
        <v>550</v>
      </c>
      <c r="E611" s="3">
        <v>2500</v>
      </c>
      <c r="F611" s="5">
        <v>0</v>
      </c>
    </row>
    <row r="612" spans="1:6" ht="15" customHeight="1" x14ac:dyDescent="0.25">
      <c r="A612" s="1" t="s">
        <v>475</v>
      </c>
      <c r="B612" s="1" t="s">
        <v>2</v>
      </c>
      <c r="C612" s="4">
        <v>473377</v>
      </c>
      <c r="D612" s="4">
        <v>224307.63</v>
      </c>
      <c r="E612" s="6">
        <f>SUM(E590:E611)</f>
        <v>476002.95000000007</v>
      </c>
      <c r="F612" s="6">
        <f>SUM(F590:F611)</f>
        <v>0</v>
      </c>
    </row>
    <row r="613" spans="1:6" x14ac:dyDescent="0.25">
      <c r="A613" s="1" t="s">
        <v>2</v>
      </c>
      <c r="B613" s="1" t="s">
        <v>2</v>
      </c>
      <c r="C613" s="1" t="s">
        <v>2</v>
      </c>
      <c r="D613" s="1" t="s">
        <v>2</v>
      </c>
      <c r="E613" s="1" t="s">
        <v>2</v>
      </c>
      <c r="F613" s="1" t="s">
        <v>2</v>
      </c>
    </row>
    <row r="614" spans="1:6" ht="15" customHeight="1" x14ac:dyDescent="0.25">
      <c r="A614" s="1" t="s">
        <v>476</v>
      </c>
      <c r="B614" s="1" t="s">
        <v>2</v>
      </c>
    </row>
    <row r="615" spans="1:6" ht="15" customHeight="1" x14ac:dyDescent="0.25">
      <c r="A615" s="2" t="s">
        <v>477</v>
      </c>
      <c r="B615" s="2" t="s">
        <v>478</v>
      </c>
      <c r="C615" s="3">
        <v>42308</v>
      </c>
      <c r="D615" s="3">
        <v>43725</v>
      </c>
      <c r="E615" s="3">
        <v>45000</v>
      </c>
      <c r="F615" s="5">
        <v>0</v>
      </c>
    </row>
    <row r="616" spans="1:6" x14ac:dyDescent="0.25">
      <c r="A616" s="2" t="s">
        <v>479</v>
      </c>
      <c r="B616" s="2" t="s">
        <v>480</v>
      </c>
      <c r="C616" s="3">
        <v>156686.39000000001</v>
      </c>
      <c r="D616" s="3">
        <v>55191.519999999997</v>
      </c>
      <c r="E616" s="3">
        <v>135072</v>
      </c>
      <c r="F616" s="5">
        <v>0</v>
      </c>
    </row>
    <row r="617" spans="1:6" ht="15" customHeight="1" x14ac:dyDescent="0.25">
      <c r="A617" s="1" t="s">
        <v>481</v>
      </c>
      <c r="B617" s="1" t="s">
        <v>2</v>
      </c>
      <c r="C617" s="4">
        <v>198994.39</v>
      </c>
      <c r="D617" s="4">
        <v>98916.52</v>
      </c>
      <c r="E617" s="6">
        <f>SUM(E615:E616)</f>
        <v>180072</v>
      </c>
      <c r="F617" s="6">
        <f>SUM(F615:F616)</f>
        <v>0</v>
      </c>
    </row>
    <row r="618" spans="1:6" x14ac:dyDescent="0.25">
      <c r="A618" s="1" t="s">
        <v>2</v>
      </c>
      <c r="B618" s="1" t="s">
        <v>2</v>
      </c>
      <c r="C618" s="1" t="s">
        <v>2</v>
      </c>
      <c r="D618" s="1" t="s">
        <v>2</v>
      </c>
      <c r="E618" s="1" t="s">
        <v>2</v>
      </c>
      <c r="F618" s="1" t="s">
        <v>2</v>
      </c>
    </row>
    <row r="619" spans="1:6" ht="15" customHeight="1" x14ac:dyDescent="0.25">
      <c r="A619" s="1" t="s">
        <v>482</v>
      </c>
      <c r="B619" s="1" t="s">
        <v>2</v>
      </c>
    </row>
    <row r="620" spans="1:6" ht="15" customHeight="1" x14ac:dyDescent="0.25">
      <c r="A620" s="2" t="s">
        <v>483</v>
      </c>
      <c r="B620" s="2" t="s">
        <v>484</v>
      </c>
      <c r="C620" s="3">
        <v>32710.95</v>
      </c>
      <c r="D620" s="3">
        <v>7890.15</v>
      </c>
      <c r="E620" s="3">
        <v>89618.35</v>
      </c>
      <c r="F620" s="5">
        <v>0</v>
      </c>
    </row>
    <row r="621" spans="1:6" ht="15" customHeight="1" x14ac:dyDescent="0.25">
      <c r="A621" s="2" t="s">
        <v>485</v>
      </c>
      <c r="B621" s="2" t="s">
        <v>486</v>
      </c>
      <c r="C621" s="3">
        <v>2240.69</v>
      </c>
      <c r="D621" s="3">
        <v>713.94</v>
      </c>
      <c r="E621" s="3">
        <v>1736.83</v>
      </c>
      <c r="F621" s="5">
        <v>0</v>
      </c>
    </row>
    <row r="622" spans="1:6" ht="15" customHeight="1" x14ac:dyDescent="0.25">
      <c r="A622" s="2" t="s">
        <v>487</v>
      </c>
      <c r="B622" s="2" t="s">
        <v>488</v>
      </c>
      <c r="C622" s="3">
        <v>533.11</v>
      </c>
      <c r="D622" s="3">
        <v>456.88</v>
      </c>
      <c r="E622" s="3">
        <v>714.1</v>
      </c>
      <c r="F622" s="5">
        <v>0</v>
      </c>
    </row>
    <row r="623" spans="1:6" x14ac:dyDescent="0.25">
      <c r="A623" s="2" t="s">
        <v>489</v>
      </c>
      <c r="B623" s="2" t="s">
        <v>490</v>
      </c>
      <c r="C623" s="3">
        <v>8941.56</v>
      </c>
      <c r="D623" s="3">
        <v>2097.6</v>
      </c>
      <c r="E623" s="3">
        <v>32605.040000000001</v>
      </c>
      <c r="F623" s="5">
        <v>0</v>
      </c>
    </row>
    <row r="624" spans="1:6" ht="15" customHeight="1" x14ac:dyDescent="0.25">
      <c r="A624" s="2" t="s">
        <v>491</v>
      </c>
      <c r="B624" s="2" t="s">
        <v>492</v>
      </c>
      <c r="C624" s="3">
        <v>797.65</v>
      </c>
      <c r="D624" s="3">
        <v>123.84</v>
      </c>
      <c r="E624" s="3">
        <v>2268.4899999999998</v>
      </c>
      <c r="F624" s="5">
        <v>0</v>
      </c>
    </row>
    <row r="625" spans="1:6" ht="15" customHeight="1" x14ac:dyDescent="0.25">
      <c r="A625" s="2" t="s">
        <v>493</v>
      </c>
      <c r="B625" s="2" t="s">
        <v>494</v>
      </c>
      <c r="C625" s="3">
        <v>3922.48</v>
      </c>
      <c r="D625" s="3">
        <v>937.39</v>
      </c>
      <c r="E625" s="3">
        <v>11006.04</v>
      </c>
      <c r="F625" s="5">
        <v>0</v>
      </c>
    </row>
    <row r="626" spans="1:6" x14ac:dyDescent="0.25">
      <c r="A626" s="2" t="s">
        <v>495</v>
      </c>
      <c r="B626" s="2" t="s">
        <v>496</v>
      </c>
      <c r="C626" s="3">
        <v>2468.2199999999998</v>
      </c>
      <c r="D626" s="3">
        <v>596.48</v>
      </c>
      <c r="E626" s="3">
        <v>6855.8</v>
      </c>
      <c r="F626" s="5">
        <v>0</v>
      </c>
    </row>
    <row r="627" spans="1:6" ht="15" customHeight="1" x14ac:dyDescent="0.25">
      <c r="A627" s="2" t="s">
        <v>497</v>
      </c>
      <c r="B627" s="2" t="s">
        <v>498</v>
      </c>
      <c r="C627" s="3">
        <v>424.65</v>
      </c>
      <c r="D627" s="3">
        <v>149.9</v>
      </c>
      <c r="E627" s="3">
        <v>450.55</v>
      </c>
      <c r="F627" s="5">
        <v>0</v>
      </c>
    </row>
    <row r="628" spans="1:6" ht="15" customHeight="1" x14ac:dyDescent="0.25">
      <c r="A628" s="2" t="s">
        <v>499</v>
      </c>
      <c r="B628" s="2" t="s">
        <v>500</v>
      </c>
      <c r="C628" s="3">
        <v>45.43</v>
      </c>
      <c r="D628" s="3">
        <v>8.68</v>
      </c>
      <c r="E628" s="3">
        <v>39.450000000000003</v>
      </c>
      <c r="F628" s="5">
        <v>0</v>
      </c>
    </row>
    <row r="629" spans="1:6" ht="15" customHeight="1" x14ac:dyDescent="0.25">
      <c r="A629" s="2" t="s">
        <v>501</v>
      </c>
      <c r="B629" s="2" t="s">
        <v>502</v>
      </c>
      <c r="C629" s="3">
        <v>290.86</v>
      </c>
      <c r="D629" s="3">
        <v>79.52</v>
      </c>
      <c r="E629" s="3">
        <v>206.22</v>
      </c>
      <c r="F629" s="5">
        <v>0</v>
      </c>
    </row>
    <row r="630" spans="1:6" ht="15" customHeight="1" x14ac:dyDescent="0.25">
      <c r="A630" s="2" t="s">
        <v>503</v>
      </c>
      <c r="B630" s="2" t="s">
        <v>504</v>
      </c>
      <c r="C630" s="3">
        <v>170.13</v>
      </c>
      <c r="D630" s="3">
        <v>53.91</v>
      </c>
      <c r="E630" s="3">
        <v>132.87</v>
      </c>
      <c r="F630" s="5">
        <v>0</v>
      </c>
    </row>
    <row r="631" spans="1:6" ht="15" customHeight="1" x14ac:dyDescent="0.25">
      <c r="A631" s="2" t="s">
        <v>505</v>
      </c>
      <c r="B631" s="2" t="s">
        <v>85</v>
      </c>
      <c r="C631" s="3">
        <v>361.21</v>
      </c>
      <c r="D631" s="3">
        <v>330.2</v>
      </c>
      <c r="E631" s="3">
        <v>51</v>
      </c>
      <c r="F631" s="5">
        <v>0</v>
      </c>
    </row>
    <row r="632" spans="1:6" ht="15" customHeight="1" x14ac:dyDescent="0.25">
      <c r="A632" s="2" t="s">
        <v>506</v>
      </c>
      <c r="B632" s="2" t="s">
        <v>507</v>
      </c>
      <c r="C632" s="3">
        <v>13.04</v>
      </c>
      <c r="D632" s="3">
        <v>7.9</v>
      </c>
      <c r="E632" s="3">
        <v>19.73</v>
      </c>
      <c r="F632" s="5">
        <v>0</v>
      </c>
    </row>
    <row r="633" spans="1:6" x14ac:dyDescent="0.25">
      <c r="A633" s="2" t="s">
        <v>508</v>
      </c>
      <c r="B633" s="2" t="s">
        <v>509</v>
      </c>
      <c r="C633" s="3">
        <v>72.64</v>
      </c>
      <c r="D633" s="3">
        <v>54.42</v>
      </c>
      <c r="E633" s="3">
        <v>88.02</v>
      </c>
      <c r="F633" s="5">
        <v>0</v>
      </c>
    </row>
    <row r="634" spans="1:6" x14ac:dyDescent="0.25">
      <c r="A634" s="2" t="s">
        <v>510</v>
      </c>
      <c r="B634" s="2" t="s">
        <v>511</v>
      </c>
      <c r="C634" s="3">
        <v>40.549999999999997</v>
      </c>
      <c r="D634" s="3">
        <v>34.49</v>
      </c>
      <c r="E634" s="3">
        <v>54.63</v>
      </c>
      <c r="F634" s="5">
        <v>0</v>
      </c>
    </row>
    <row r="635" spans="1:6" ht="15" customHeight="1" x14ac:dyDescent="0.25">
      <c r="A635" s="2" t="s">
        <v>512</v>
      </c>
      <c r="B635" s="2" t="s">
        <v>513</v>
      </c>
      <c r="C635" s="3">
        <v>48.72</v>
      </c>
      <c r="D635" s="3">
        <v>18.02</v>
      </c>
      <c r="E635" s="3">
        <v>132.79</v>
      </c>
      <c r="F635" s="5">
        <v>0</v>
      </c>
    </row>
    <row r="636" spans="1:6" ht="15" customHeight="1" x14ac:dyDescent="0.25">
      <c r="A636" s="2" t="s">
        <v>514</v>
      </c>
      <c r="B636" s="2" t="s">
        <v>515</v>
      </c>
      <c r="C636" s="3">
        <v>3.28</v>
      </c>
      <c r="D636" s="3">
        <v>1.57</v>
      </c>
      <c r="E636" s="3">
        <v>2.5499999999999998</v>
      </c>
      <c r="F636" s="5">
        <v>0</v>
      </c>
    </row>
    <row r="637" spans="1:6" x14ac:dyDescent="0.25">
      <c r="A637" s="2" t="s">
        <v>516</v>
      </c>
      <c r="B637" s="2" t="s">
        <v>517</v>
      </c>
      <c r="C637" s="3">
        <v>67.11</v>
      </c>
      <c r="D637" s="3">
        <v>10.73</v>
      </c>
      <c r="E637" s="3">
        <v>318.25</v>
      </c>
      <c r="F637" s="5">
        <v>0</v>
      </c>
    </row>
    <row r="638" spans="1:6" ht="15" customHeight="1" x14ac:dyDescent="0.25">
      <c r="A638" s="2" t="s">
        <v>518</v>
      </c>
      <c r="B638" s="2" t="s">
        <v>519</v>
      </c>
      <c r="C638" s="3">
        <v>0</v>
      </c>
      <c r="D638" s="3">
        <v>0</v>
      </c>
      <c r="E638" s="3">
        <v>500</v>
      </c>
      <c r="F638" s="5">
        <v>0</v>
      </c>
    </row>
    <row r="639" spans="1:6" ht="15" customHeight="1" x14ac:dyDescent="0.25">
      <c r="A639" s="2" t="s">
        <v>520</v>
      </c>
      <c r="B639" s="2" t="s">
        <v>92</v>
      </c>
      <c r="C639" s="3">
        <v>2319.9699999999998</v>
      </c>
      <c r="D639" s="3">
        <v>11370.06</v>
      </c>
      <c r="E639" s="3">
        <v>11370.06</v>
      </c>
      <c r="F639" s="5">
        <v>0</v>
      </c>
    </row>
    <row r="640" spans="1:6" ht="15" customHeight="1" x14ac:dyDescent="0.25">
      <c r="A640" s="2" t="s">
        <v>521</v>
      </c>
      <c r="B640" s="2" t="s">
        <v>99</v>
      </c>
      <c r="C640" s="3">
        <v>2192.84</v>
      </c>
      <c r="D640" s="3">
        <v>570.04999999999995</v>
      </c>
      <c r="E640" s="3">
        <v>3000</v>
      </c>
      <c r="F640" s="5">
        <v>0</v>
      </c>
    </row>
    <row r="641" spans="1:6" x14ac:dyDescent="0.25">
      <c r="A641" s="2" t="s">
        <v>522</v>
      </c>
      <c r="B641" s="2" t="s">
        <v>523</v>
      </c>
      <c r="C641" s="3">
        <v>11087.38</v>
      </c>
      <c r="D641" s="3">
        <v>5166.96</v>
      </c>
      <c r="E641" s="3">
        <v>12000</v>
      </c>
      <c r="F641" s="5">
        <v>0</v>
      </c>
    </row>
    <row r="642" spans="1:6" x14ac:dyDescent="0.25">
      <c r="A642" s="2" t="s">
        <v>524</v>
      </c>
      <c r="B642" s="2" t="s">
        <v>525</v>
      </c>
      <c r="C642" s="3">
        <v>7240.84</v>
      </c>
      <c r="D642" s="3">
        <v>703.8</v>
      </c>
      <c r="E642" s="3">
        <v>8000</v>
      </c>
      <c r="F642" s="5">
        <v>0</v>
      </c>
    </row>
    <row r="643" spans="1:6" x14ac:dyDescent="0.25">
      <c r="A643" s="2" t="s">
        <v>526</v>
      </c>
      <c r="B643" s="2" t="s">
        <v>527</v>
      </c>
      <c r="C643" s="3">
        <v>21713.06</v>
      </c>
      <c r="D643" s="3">
        <v>14606.55</v>
      </c>
      <c r="E643" s="3">
        <v>20000</v>
      </c>
      <c r="F643" s="5">
        <v>0</v>
      </c>
    </row>
    <row r="644" spans="1:6" x14ac:dyDescent="0.25">
      <c r="A644" s="2" t="s">
        <v>528</v>
      </c>
      <c r="B644" s="2" t="s">
        <v>529</v>
      </c>
      <c r="C644" s="3">
        <v>23827.79</v>
      </c>
      <c r="D644" s="3">
        <v>7327.11</v>
      </c>
      <c r="E644" s="3">
        <v>25000</v>
      </c>
      <c r="F644" s="5">
        <v>0</v>
      </c>
    </row>
    <row r="645" spans="1:6" x14ac:dyDescent="0.25">
      <c r="A645" s="2" t="s">
        <v>530</v>
      </c>
      <c r="B645" s="2" t="s">
        <v>531</v>
      </c>
      <c r="C645" s="3">
        <v>559.73</v>
      </c>
      <c r="D645" s="3">
        <v>0</v>
      </c>
      <c r="E645" s="3">
        <v>1000</v>
      </c>
      <c r="F645" s="5">
        <v>0</v>
      </c>
    </row>
    <row r="646" spans="1:6" ht="15" customHeight="1" x14ac:dyDescent="0.25">
      <c r="A646" s="2" t="s">
        <v>532</v>
      </c>
      <c r="B646" s="2" t="s">
        <v>533</v>
      </c>
      <c r="C646" s="3">
        <v>0</v>
      </c>
      <c r="D646" s="3">
        <v>0</v>
      </c>
      <c r="E646" s="3">
        <v>5000</v>
      </c>
      <c r="F646" s="5">
        <v>0</v>
      </c>
    </row>
    <row r="647" spans="1:6" ht="30" customHeight="1" x14ac:dyDescent="0.25">
      <c r="A647" s="1" t="s">
        <v>534</v>
      </c>
      <c r="B647" s="1" t="s">
        <v>2</v>
      </c>
      <c r="C647" s="4">
        <v>122093.89</v>
      </c>
      <c r="D647" s="4">
        <v>53310.15</v>
      </c>
      <c r="E647" s="6">
        <f>SUM(E620:E646)</f>
        <v>232170.77</v>
      </c>
      <c r="F647" s="6">
        <f>SUM(F620:F646)</f>
        <v>0</v>
      </c>
    </row>
    <row r="648" spans="1:6" x14ac:dyDescent="0.25">
      <c r="A648" s="1" t="s">
        <v>2</v>
      </c>
      <c r="B648" s="1" t="s">
        <v>2</v>
      </c>
      <c r="C648" s="1" t="s">
        <v>2</v>
      </c>
      <c r="D648" s="1" t="s">
        <v>2</v>
      </c>
      <c r="E648" s="1" t="s">
        <v>2</v>
      </c>
      <c r="F648" s="1" t="s">
        <v>2</v>
      </c>
    </row>
    <row r="649" spans="1:6" ht="15" customHeight="1" x14ac:dyDescent="0.25">
      <c r="A649" s="1" t="s">
        <v>535</v>
      </c>
      <c r="B649" s="1" t="s">
        <v>2</v>
      </c>
    </row>
    <row r="650" spans="1:6" ht="15" customHeight="1" x14ac:dyDescent="0.25">
      <c r="A650" s="2" t="s">
        <v>536</v>
      </c>
      <c r="B650" s="2" t="s">
        <v>108</v>
      </c>
      <c r="C650" s="3">
        <v>144070.32999999999</v>
      </c>
      <c r="D650" s="3">
        <v>64064.959999999999</v>
      </c>
      <c r="E650" s="3">
        <v>147030.29</v>
      </c>
      <c r="F650" s="5">
        <v>0</v>
      </c>
    </row>
    <row r="651" spans="1:6" ht="15" customHeight="1" x14ac:dyDescent="0.25">
      <c r="A651" s="2" t="s">
        <v>537</v>
      </c>
      <c r="B651" s="2" t="s">
        <v>29</v>
      </c>
      <c r="C651" s="3">
        <v>40441.06</v>
      </c>
      <c r="D651" s="3">
        <v>17931.349999999999</v>
      </c>
      <c r="E651" s="3">
        <v>40860.65</v>
      </c>
      <c r="F651" s="5">
        <v>0</v>
      </c>
    </row>
    <row r="652" spans="1:6" ht="15" customHeight="1" x14ac:dyDescent="0.25">
      <c r="A652" s="2" t="s">
        <v>538</v>
      </c>
      <c r="B652" s="2" t="s">
        <v>31</v>
      </c>
      <c r="C652" s="3">
        <v>3003.22</v>
      </c>
      <c r="D652" s="3">
        <v>892.76</v>
      </c>
      <c r="E652" s="3">
        <v>3156.16</v>
      </c>
      <c r="F652" s="5">
        <v>0</v>
      </c>
    </row>
    <row r="653" spans="1:6" ht="15" customHeight="1" x14ac:dyDescent="0.25">
      <c r="A653" s="2" t="s">
        <v>539</v>
      </c>
      <c r="B653" s="2" t="s">
        <v>33</v>
      </c>
      <c r="C653" s="3">
        <v>19473.36</v>
      </c>
      <c r="D653" s="3">
        <v>7665.81</v>
      </c>
      <c r="E653" s="3">
        <v>17557.61</v>
      </c>
      <c r="F653" s="5">
        <v>0</v>
      </c>
    </row>
    <row r="654" spans="1:6" x14ac:dyDescent="0.25">
      <c r="A654" s="2" t="s">
        <v>540</v>
      </c>
      <c r="B654" s="2" t="s">
        <v>113</v>
      </c>
      <c r="C654" s="3">
        <v>10772.88</v>
      </c>
      <c r="D654" s="3">
        <v>4796.46</v>
      </c>
      <c r="E654" s="3">
        <v>11247.82</v>
      </c>
      <c r="F654" s="5">
        <v>0</v>
      </c>
    </row>
    <row r="655" spans="1:6" ht="15" customHeight="1" x14ac:dyDescent="0.25">
      <c r="A655" s="2" t="s">
        <v>541</v>
      </c>
      <c r="B655" s="2" t="s">
        <v>13</v>
      </c>
      <c r="C655" s="3">
        <v>211.41</v>
      </c>
      <c r="D655" s="3">
        <v>136.62</v>
      </c>
      <c r="E655" s="3">
        <v>216.13</v>
      </c>
      <c r="F655" s="5">
        <v>0</v>
      </c>
    </row>
    <row r="656" spans="1:6" ht="15" customHeight="1" x14ac:dyDescent="0.25">
      <c r="A656" s="2" t="s">
        <v>542</v>
      </c>
      <c r="B656" s="2" t="s">
        <v>543</v>
      </c>
      <c r="C656" s="3">
        <v>374</v>
      </c>
      <c r="D656" s="3">
        <v>0</v>
      </c>
      <c r="E656" s="3">
        <v>283.25</v>
      </c>
      <c r="F656" s="5">
        <v>0</v>
      </c>
    </row>
    <row r="657" spans="1:6" ht="15" customHeight="1" x14ac:dyDescent="0.25">
      <c r="A657" s="2" t="s">
        <v>544</v>
      </c>
      <c r="B657" s="2" t="s">
        <v>37</v>
      </c>
      <c r="C657" s="3">
        <v>0</v>
      </c>
      <c r="D657" s="3">
        <v>84.85</v>
      </c>
      <c r="E657" s="3">
        <v>0</v>
      </c>
      <c r="F657" s="5">
        <v>0</v>
      </c>
    </row>
    <row r="658" spans="1:6" ht="15" customHeight="1" x14ac:dyDescent="0.25">
      <c r="A658" s="2" t="s">
        <v>545</v>
      </c>
      <c r="B658" s="2" t="s">
        <v>92</v>
      </c>
      <c r="C658" s="3">
        <v>9123.7199999999993</v>
      </c>
      <c r="D658" s="3">
        <v>2360.56</v>
      </c>
      <c r="E658" s="3">
        <v>2360.56</v>
      </c>
      <c r="F658" s="5">
        <v>0</v>
      </c>
    </row>
    <row r="659" spans="1:6" x14ac:dyDescent="0.25">
      <c r="A659" s="2" t="s">
        <v>546</v>
      </c>
      <c r="B659" s="2" t="s">
        <v>547</v>
      </c>
      <c r="C659" s="3">
        <v>2169.7600000000002</v>
      </c>
      <c r="D659" s="3">
        <v>3240.22</v>
      </c>
      <c r="E659" s="3">
        <v>3240.22</v>
      </c>
      <c r="F659" s="5">
        <v>0</v>
      </c>
    </row>
    <row r="660" spans="1:6" x14ac:dyDescent="0.25">
      <c r="A660" s="2" t="s">
        <v>548</v>
      </c>
      <c r="B660" s="2" t="s">
        <v>549</v>
      </c>
      <c r="C660" s="3">
        <v>99653.64</v>
      </c>
      <c r="D660" s="3">
        <v>14880.8</v>
      </c>
      <c r="E660" s="3">
        <v>100000</v>
      </c>
      <c r="F660" s="5">
        <v>0</v>
      </c>
    </row>
    <row r="661" spans="1:6" ht="15" customHeight="1" x14ac:dyDescent="0.25">
      <c r="A661" s="2" t="s">
        <v>550</v>
      </c>
      <c r="B661" s="2" t="s">
        <v>64</v>
      </c>
      <c r="C661" s="3">
        <v>113.49</v>
      </c>
      <c r="D661" s="3">
        <v>47.37</v>
      </c>
      <c r="E661" s="3">
        <v>1000</v>
      </c>
      <c r="F661" s="5">
        <v>0</v>
      </c>
    </row>
    <row r="662" spans="1:6" ht="15" customHeight="1" x14ac:dyDescent="0.25">
      <c r="A662" s="1" t="s">
        <v>551</v>
      </c>
      <c r="B662" s="1" t="s">
        <v>2</v>
      </c>
      <c r="C662" s="4">
        <v>329406.87</v>
      </c>
      <c r="D662" s="4">
        <v>116101.75999999999</v>
      </c>
      <c r="E662" s="6">
        <f>SUM(E650:E661)</f>
        <v>326952.69000000006</v>
      </c>
      <c r="F662" s="6">
        <f>SUM(F650:F661)</f>
        <v>0</v>
      </c>
    </row>
    <row r="663" spans="1:6" x14ac:dyDescent="0.25">
      <c r="A663" s="1" t="s">
        <v>2</v>
      </c>
      <c r="B663" s="1" t="s">
        <v>2</v>
      </c>
      <c r="C663" s="1" t="s">
        <v>2</v>
      </c>
      <c r="D663" s="1" t="s">
        <v>2</v>
      </c>
      <c r="E663" s="1" t="s">
        <v>2</v>
      </c>
      <c r="F663" s="1" t="s">
        <v>2</v>
      </c>
    </row>
    <row r="664" spans="1:6" ht="15" customHeight="1" x14ac:dyDescent="0.25">
      <c r="A664" s="1" t="s">
        <v>552</v>
      </c>
      <c r="B664" s="1" t="s">
        <v>2</v>
      </c>
    </row>
    <row r="665" spans="1:6" ht="15" customHeight="1" x14ac:dyDescent="0.25">
      <c r="A665" s="2" t="s">
        <v>553</v>
      </c>
      <c r="B665" s="2" t="s">
        <v>554</v>
      </c>
      <c r="C665" s="3">
        <v>5005</v>
      </c>
      <c r="D665" s="3">
        <v>5110</v>
      </c>
      <c r="E665" s="3">
        <v>5110</v>
      </c>
      <c r="F665" s="5">
        <v>0</v>
      </c>
    </row>
    <row r="666" spans="1:6" ht="15" customHeight="1" x14ac:dyDescent="0.25">
      <c r="A666" s="1" t="s">
        <v>555</v>
      </c>
      <c r="B666" s="1" t="s">
        <v>2</v>
      </c>
      <c r="C666" s="4">
        <v>5005</v>
      </c>
      <c r="D666" s="4">
        <v>5110</v>
      </c>
      <c r="E666" s="6">
        <f>SUM(E665)</f>
        <v>5110</v>
      </c>
      <c r="F666" s="6">
        <f>SUM(F665)</f>
        <v>0</v>
      </c>
    </row>
    <row r="667" spans="1:6" x14ac:dyDescent="0.25">
      <c r="A667" s="1" t="s">
        <v>2</v>
      </c>
      <c r="B667" s="1" t="s">
        <v>2</v>
      </c>
      <c r="C667" s="1" t="s">
        <v>2</v>
      </c>
      <c r="D667" s="1" t="s">
        <v>2</v>
      </c>
      <c r="E667" s="1" t="s">
        <v>2</v>
      </c>
      <c r="F667" s="1" t="s">
        <v>2</v>
      </c>
    </row>
    <row r="668" spans="1:6" ht="15" customHeight="1" x14ac:dyDescent="0.25">
      <c r="A668" s="1" t="s">
        <v>557</v>
      </c>
      <c r="B668" s="1" t="s">
        <v>2</v>
      </c>
    </row>
    <row r="669" spans="1:6" ht="15" customHeight="1" x14ac:dyDescent="0.25">
      <c r="A669" s="2" t="s">
        <v>558</v>
      </c>
      <c r="B669" s="2" t="s">
        <v>559</v>
      </c>
      <c r="C669" s="3">
        <v>701570.81</v>
      </c>
      <c r="D669" s="3">
        <v>2980.21</v>
      </c>
      <c r="E669" s="3">
        <v>0</v>
      </c>
      <c r="F669" s="5">
        <v>0</v>
      </c>
    </row>
    <row r="670" spans="1:6" ht="15" customHeight="1" x14ac:dyDescent="0.25">
      <c r="A670" s="1" t="s">
        <v>560</v>
      </c>
      <c r="B670" s="1" t="s">
        <v>2</v>
      </c>
      <c r="C670" s="4">
        <v>701570.81</v>
      </c>
      <c r="D670" s="4">
        <v>2980.21</v>
      </c>
      <c r="E670" s="6">
        <f>SUM(E669)</f>
        <v>0</v>
      </c>
      <c r="F670" s="6">
        <f>SUM(F669)</f>
        <v>0</v>
      </c>
    </row>
    <row r="671" spans="1:6" x14ac:dyDescent="0.25">
      <c r="A671" s="1" t="s">
        <v>2</v>
      </c>
      <c r="B671" s="1" t="s">
        <v>2</v>
      </c>
      <c r="C671" s="1" t="s">
        <v>2</v>
      </c>
      <c r="D671" s="1" t="s">
        <v>2</v>
      </c>
      <c r="E671" s="1" t="s">
        <v>2</v>
      </c>
      <c r="F671" s="1" t="s">
        <v>2</v>
      </c>
    </row>
    <row r="672" spans="1:6" x14ac:dyDescent="0.25">
      <c r="A672" s="1" t="s">
        <v>561</v>
      </c>
      <c r="B672" s="1" t="s">
        <v>2</v>
      </c>
    </row>
    <row r="673" spans="1:6" ht="15" customHeight="1" x14ac:dyDescent="0.25">
      <c r="A673" s="2" t="s">
        <v>562</v>
      </c>
      <c r="B673" s="2" t="s">
        <v>563</v>
      </c>
      <c r="C673" s="3">
        <v>2251.37</v>
      </c>
      <c r="D673" s="3">
        <v>0</v>
      </c>
      <c r="E673" s="3">
        <v>0</v>
      </c>
      <c r="F673" s="5">
        <v>0</v>
      </c>
    </row>
    <row r="674" spans="1:6" ht="15" customHeight="1" x14ac:dyDescent="0.25">
      <c r="A674" s="2" t="s">
        <v>564</v>
      </c>
      <c r="B674" s="2" t="s">
        <v>565</v>
      </c>
      <c r="C674" s="3">
        <v>264197.74</v>
      </c>
      <c r="D674" s="3">
        <v>132594.04</v>
      </c>
      <c r="E674" s="3">
        <v>296626.24</v>
      </c>
      <c r="F674" s="5">
        <v>0</v>
      </c>
    </row>
    <row r="675" spans="1:6" ht="15" customHeight="1" x14ac:dyDescent="0.25">
      <c r="A675" s="2" t="s">
        <v>566</v>
      </c>
      <c r="B675" s="2" t="s">
        <v>567</v>
      </c>
      <c r="C675" s="3">
        <v>7840.51</v>
      </c>
      <c r="D675" s="3">
        <v>0</v>
      </c>
      <c r="E675" s="3">
        <v>31831.48</v>
      </c>
      <c r="F675" s="5">
        <v>0</v>
      </c>
    </row>
    <row r="676" spans="1:6" ht="15" customHeight="1" x14ac:dyDescent="0.25">
      <c r="A676" s="2" t="s">
        <v>568</v>
      </c>
      <c r="B676" s="2" t="s">
        <v>569</v>
      </c>
      <c r="C676" s="3">
        <v>4872.6899999999996</v>
      </c>
      <c r="D676" s="3">
        <v>575.26</v>
      </c>
      <c r="E676" s="3">
        <v>0</v>
      </c>
      <c r="F676" s="5">
        <v>0</v>
      </c>
    </row>
    <row r="677" spans="1:6" ht="15" customHeight="1" x14ac:dyDescent="0.25">
      <c r="A677" s="2" t="s">
        <v>570</v>
      </c>
      <c r="B677" s="2" t="s">
        <v>571</v>
      </c>
      <c r="C677" s="3">
        <v>8902.5</v>
      </c>
      <c r="D677" s="3">
        <v>0</v>
      </c>
      <c r="E677" s="3">
        <v>10052</v>
      </c>
      <c r="F677" s="5">
        <v>0</v>
      </c>
    </row>
    <row r="678" spans="1:6" ht="15" customHeight="1" x14ac:dyDescent="0.25">
      <c r="A678" s="2" t="s">
        <v>572</v>
      </c>
      <c r="B678" s="2" t="s">
        <v>29</v>
      </c>
      <c r="C678" s="3">
        <v>68498.490000000005</v>
      </c>
      <c r="D678" s="3">
        <v>34708.81</v>
      </c>
      <c r="E678" s="3">
        <v>72374.36</v>
      </c>
      <c r="F678" s="5">
        <v>0</v>
      </c>
    </row>
    <row r="679" spans="1:6" ht="15" customHeight="1" x14ac:dyDescent="0.25">
      <c r="A679" s="2" t="s">
        <v>573</v>
      </c>
      <c r="B679" s="2" t="s">
        <v>31</v>
      </c>
      <c r="C679" s="3">
        <v>9007.59</v>
      </c>
      <c r="D679" s="3">
        <v>2886.79</v>
      </c>
      <c r="E679" s="3">
        <v>12821.9</v>
      </c>
      <c r="F679" s="5">
        <v>0</v>
      </c>
    </row>
    <row r="680" spans="1:6" ht="15" customHeight="1" x14ac:dyDescent="0.25">
      <c r="A680" s="2" t="s">
        <v>574</v>
      </c>
      <c r="B680" s="2" t="s">
        <v>33</v>
      </c>
      <c r="C680" s="3">
        <v>33849.47</v>
      </c>
      <c r="D680" s="3">
        <v>14287.66</v>
      </c>
      <c r="E680" s="3">
        <v>30255.61</v>
      </c>
      <c r="F680" s="5">
        <v>0</v>
      </c>
    </row>
    <row r="681" spans="1:6" ht="15" customHeight="1" x14ac:dyDescent="0.25">
      <c r="A681" s="2" t="s">
        <v>575</v>
      </c>
      <c r="B681" s="2" t="s">
        <v>11</v>
      </c>
      <c r="C681" s="3">
        <v>21147.43</v>
      </c>
      <c r="D681" s="3">
        <v>9969.6200000000008</v>
      </c>
      <c r="E681" s="3">
        <v>25895.99</v>
      </c>
      <c r="F681" s="5">
        <v>0</v>
      </c>
    </row>
    <row r="682" spans="1:6" ht="15" customHeight="1" x14ac:dyDescent="0.25">
      <c r="A682" s="2" t="s">
        <v>576</v>
      </c>
      <c r="B682" s="2" t="s">
        <v>577</v>
      </c>
      <c r="C682" s="3">
        <v>110.14</v>
      </c>
      <c r="D682" s="3">
        <v>11.72</v>
      </c>
      <c r="E682" s="3">
        <v>0</v>
      </c>
      <c r="F682" s="5">
        <v>0</v>
      </c>
    </row>
    <row r="683" spans="1:6" ht="15" customHeight="1" x14ac:dyDescent="0.25">
      <c r="A683" s="2" t="s">
        <v>578</v>
      </c>
      <c r="B683" s="2" t="s">
        <v>579</v>
      </c>
      <c r="C683" s="3">
        <v>631.47</v>
      </c>
      <c r="D683" s="3">
        <v>69.81</v>
      </c>
      <c r="E683" s="3">
        <v>0</v>
      </c>
      <c r="F683" s="5">
        <v>0</v>
      </c>
    </row>
    <row r="684" spans="1:6" ht="15" customHeight="1" x14ac:dyDescent="0.25">
      <c r="A684" s="2" t="s">
        <v>580</v>
      </c>
      <c r="B684" s="2" t="s">
        <v>581</v>
      </c>
      <c r="C684" s="3">
        <v>368</v>
      </c>
      <c r="D684" s="3">
        <v>43.18</v>
      </c>
      <c r="E684" s="3">
        <v>0</v>
      </c>
      <c r="F684" s="5">
        <v>0</v>
      </c>
    </row>
    <row r="685" spans="1:6" ht="15" customHeight="1" x14ac:dyDescent="0.25">
      <c r="A685" s="2" t="s">
        <v>582</v>
      </c>
      <c r="B685" s="2" t="s">
        <v>13</v>
      </c>
      <c r="C685" s="3">
        <v>419.3</v>
      </c>
      <c r="D685" s="3">
        <v>288.32</v>
      </c>
      <c r="E685" s="3">
        <v>497.61</v>
      </c>
      <c r="F685" s="5">
        <v>0</v>
      </c>
    </row>
    <row r="686" spans="1:6" ht="15" customHeight="1" x14ac:dyDescent="0.25">
      <c r="A686" s="2" t="s">
        <v>583</v>
      </c>
      <c r="B686" s="2" t="s">
        <v>458</v>
      </c>
      <c r="C686" s="3">
        <v>1066.9000000000001</v>
      </c>
      <c r="D686" s="3">
        <v>231.72</v>
      </c>
      <c r="E686" s="3">
        <v>1104.33</v>
      </c>
      <c r="F686" s="5">
        <v>0</v>
      </c>
    </row>
    <row r="687" spans="1:6" ht="15" customHeight="1" x14ac:dyDescent="0.25">
      <c r="A687" s="2" t="s">
        <v>584</v>
      </c>
      <c r="B687" s="2" t="s">
        <v>585</v>
      </c>
      <c r="C687" s="3">
        <v>75</v>
      </c>
      <c r="D687" s="3">
        <v>0</v>
      </c>
      <c r="E687" s="3">
        <v>0</v>
      </c>
      <c r="F687" s="5">
        <v>0</v>
      </c>
    </row>
    <row r="688" spans="1:6" ht="15" customHeight="1" x14ac:dyDescent="0.25">
      <c r="A688" s="2" t="s">
        <v>586</v>
      </c>
      <c r="B688" s="2" t="s">
        <v>587</v>
      </c>
      <c r="C688" s="3">
        <v>4453.3999999999996</v>
      </c>
      <c r="D688" s="3">
        <v>0</v>
      </c>
      <c r="E688" s="3">
        <v>5000</v>
      </c>
      <c r="F688" s="5">
        <v>0</v>
      </c>
    </row>
    <row r="689" spans="1:6" ht="15" customHeight="1" x14ac:dyDescent="0.25">
      <c r="A689" s="2" t="s">
        <v>588</v>
      </c>
      <c r="B689" s="2" t="s">
        <v>589</v>
      </c>
      <c r="C689" s="3">
        <v>0</v>
      </c>
      <c r="D689" s="3">
        <v>0</v>
      </c>
      <c r="E689" s="3">
        <v>500</v>
      </c>
      <c r="F689" s="5">
        <v>0</v>
      </c>
    </row>
    <row r="690" spans="1:6" ht="15" customHeight="1" x14ac:dyDescent="0.25">
      <c r="A690" s="2" t="s">
        <v>590</v>
      </c>
      <c r="B690" s="2" t="s">
        <v>591</v>
      </c>
      <c r="C690" s="3">
        <v>967.54</v>
      </c>
      <c r="D690" s="3">
        <v>29.31</v>
      </c>
      <c r="E690" s="3">
        <v>1000</v>
      </c>
      <c r="F690" s="5">
        <v>0</v>
      </c>
    </row>
    <row r="691" spans="1:6" ht="15" customHeight="1" x14ac:dyDescent="0.25">
      <c r="A691" s="2" t="s">
        <v>592</v>
      </c>
      <c r="B691" s="2" t="s">
        <v>593</v>
      </c>
      <c r="C691" s="3">
        <v>50178.09</v>
      </c>
      <c r="D691" s="3">
        <v>15955.66</v>
      </c>
      <c r="E691" s="3">
        <v>50000</v>
      </c>
      <c r="F691" s="5">
        <v>0</v>
      </c>
    </row>
    <row r="692" spans="1:6" ht="15" customHeight="1" x14ac:dyDescent="0.25">
      <c r="A692" s="2" t="s">
        <v>594</v>
      </c>
      <c r="B692" s="2" t="s">
        <v>595</v>
      </c>
      <c r="C692" s="3">
        <v>0</v>
      </c>
      <c r="D692" s="3">
        <v>0</v>
      </c>
      <c r="E692" s="3">
        <v>2500</v>
      </c>
      <c r="F692" s="5">
        <v>0</v>
      </c>
    </row>
    <row r="693" spans="1:6" ht="15" customHeight="1" x14ac:dyDescent="0.25">
      <c r="A693" s="2" t="s">
        <v>596</v>
      </c>
      <c r="B693" s="2" t="s">
        <v>462</v>
      </c>
      <c r="C693" s="3">
        <v>547</v>
      </c>
      <c r="D693" s="3">
        <v>0</v>
      </c>
      <c r="E693" s="3">
        <v>2000</v>
      </c>
      <c r="F693" s="5">
        <v>0</v>
      </c>
    </row>
    <row r="694" spans="1:6" x14ac:dyDescent="0.25">
      <c r="A694" s="2" t="s">
        <v>597</v>
      </c>
      <c r="B694" s="2" t="s">
        <v>598</v>
      </c>
      <c r="C694" s="3">
        <v>17660.71</v>
      </c>
      <c r="D694" s="3">
        <v>16574.75</v>
      </c>
      <c r="E694" s="3">
        <v>16574.75</v>
      </c>
      <c r="F694" s="5">
        <v>0</v>
      </c>
    </row>
    <row r="695" spans="1:6" x14ac:dyDescent="0.25">
      <c r="A695" s="2" t="s">
        <v>599</v>
      </c>
      <c r="B695" s="2" t="s">
        <v>15</v>
      </c>
      <c r="C695" s="3">
        <v>1513.37</v>
      </c>
      <c r="D695" s="3">
        <v>1265.71</v>
      </c>
      <c r="E695" s="3">
        <v>1265.71</v>
      </c>
      <c r="F695" s="5">
        <v>0</v>
      </c>
    </row>
    <row r="696" spans="1:6" ht="15" customHeight="1" x14ac:dyDescent="0.25">
      <c r="A696" s="2" t="s">
        <v>600</v>
      </c>
      <c r="B696" s="2" t="s">
        <v>601</v>
      </c>
      <c r="C696" s="3">
        <v>0</v>
      </c>
      <c r="D696" s="3">
        <v>0</v>
      </c>
      <c r="E696" s="3">
        <v>1500</v>
      </c>
      <c r="F696" s="5">
        <v>0</v>
      </c>
    </row>
    <row r="697" spans="1:6" ht="15" customHeight="1" x14ac:dyDescent="0.25">
      <c r="A697" s="2" t="s">
        <v>602</v>
      </c>
      <c r="B697" s="2" t="s">
        <v>95</v>
      </c>
      <c r="C697" s="3">
        <v>12116.76</v>
      </c>
      <c r="D697" s="3">
        <v>1269.56</v>
      </c>
      <c r="E697" s="3">
        <v>10000</v>
      </c>
      <c r="F697" s="5">
        <v>0</v>
      </c>
    </row>
    <row r="698" spans="1:6" ht="15" customHeight="1" x14ac:dyDescent="0.25">
      <c r="A698" s="2" t="s">
        <v>603</v>
      </c>
      <c r="B698" s="2" t="s">
        <v>604</v>
      </c>
      <c r="C698" s="3">
        <v>1355.38</v>
      </c>
      <c r="D698" s="3">
        <v>0</v>
      </c>
      <c r="E698" s="3">
        <v>0</v>
      </c>
      <c r="F698" s="5">
        <v>0</v>
      </c>
    </row>
    <row r="699" spans="1:6" ht="15" customHeight="1" x14ac:dyDescent="0.25">
      <c r="A699" s="2" t="s">
        <v>605</v>
      </c>
      <c r="B699" s="2" t="s">
        <v>606</v>
      </c>
      <c r="C699" s="3">
        <v>4506.8599999999997</v>
      </c>
      <c r="D699" s="3">
        <v>1619.76</v>
      </c>
      <c r="E699" s="3">
        <v>3100</v>
      </c>
      <c r="F699" s="5">
        <v>0</v>
      </c>
    </row>
    <row r="700" spans="1:6" ht="15" customHeight="1" x14ac:dyDescent="0.25">
      <c r="A700" s="2" t="s">
        <v>607</v>
      </c>
      <c r="B700" s="2" t="s">
        <v>17</v>
      </c>
      <c r="C700" s="3">
        <v>0</v>
      </c>
      <c r="D700" s="3">
        <v>0</v>
      </c>
      <c r="E700" s="3">
        <v>0</v>
      </c>
      <c r="F700" s="5">
        <v>0</v>
      </c>
    </row>
    <row r="701" spans="1:6" ht="15" customHeight="1" x14ac:dyDescent="0.25">
      <c r="A701" s="2" t="s">
        <v>608</v>
      </c>
      <c r="B701" s="2" t="s">
        <v>144</v>
      </c>
      <c r="C701" s="3">
        <v>185</v>
      </c>
      <c r="D701" s="3">
        <v>0</v>
      </c>
      <c r="E701" s="3">
        <v>1200</v>
      </c>
      <c r="F701" s="5">
        <v>0</v>
      </c>
    </row>
    <row r="702" spans="1:6" ht="15" customHeight="1" x14ac:dyDescent="0.25">
      <c r="A702" s="2" t="s">
        <v>609</v>
      </c>
      <c r="B702" s="2" t="s">
        <v>305</v>
      </c>
      <c r="C702" s="3">
        <v>26712.85</v>
      </c>
      <c r="D702" s="3">
        <v>3138.66</v>
      </c>
      <c r="E702" s="3">
        <v>21000</v>
      </c>
      <c r="F702" s="5">
        <v>0</v>
      </c>
    </row>
    <row r="703" spans="1:6" ht="15" customHeight="1" x14ac:dyDescent="0.25">
      <c r="A703" s="2" t="s">
        <v>610</v>
      </c>
      <c r="B703" s="2" t="s">
        <v>611</v>
      </c>
      <c r="C703" s="3">
        <v>7205.2</v>
      </c>
      <c r="D703" s="3">
        <v>5930.55</v>
      </c>
      <c r="E703" s="3">
        <v>9200</v>
      </c>
      <c r="F703" s="5">
        <v>0</v>
      </c>
    </row>
    <row r="704" spans="1:6" ht="15" customHeight="1" x14ac:dyDescent="0.25">
      <c r="A704" s="2" t="s">
        <v>612</v>
      </c>
      <c r="B704" s="2" t="s">
        <v>613</v>
      </c>
      <c r="C704" s="3">
        <v>32997.040000000001</v>
      </c>
      <c r="D704" s="3">
        <v>6886.5</v>
      </c>
      <c r="E704" s="3">
        <v>20000</v>
      </c>
      <c r="F704" s="5">
        <v>0</v>
      </c>
    </row>
    <row r="705" spans="1:6" ht="15" customHeight="1" x14ac:dyDescent="0.25">
      <c r="A705" s="2" t="s">
        <v>614</v>
      </c>
      <c r="B705" s="2" t="s">
        <v>615</v>
      </c>
      <c r="C705" s="3">
        <v>4186.3100000000004</v>
      </c>
      <c r="D705" s="3">
        <v>1501.61</v>
      </c>
      <c r="E705" s="3">
        <v>2500</v>
      </c>
      <c r="F705" s="5">
        <v>0</v>
      </c>
    </row>
    <row r="706" spans="1:6" x14ac:dyDescent="0.25">
      <c r="A706" s="2" t="s">
        <v>616</v>
      </c>
      <c r="B706" s="2" t="s">
        <v>617</v>
      </c>
      <c r="C706" s="3">
        <v>736.3</v>
      </c>
      <c r="D706" s="3">
        <v>270.3</v>
      </c>
      <c r="E706" s="3">
        <v>1000</v>
      </c>
      <c r="F706" s="5">
        <v>0</v>
      </c>
    </row>
    <row r="707" spans="1:6" ht="15" customHeight="1" x14ac:dyDescent="0.25">
      <c r="A707" s="2" t="s">
        <v>618</v>
      </c>
      <c r="B707" s="2" t="s">
        <v>619</v>
      </c>
      <c r="C707" s="3">
        <v>0</v>
      </c>
      <c r="D707" s="3">
        <v>0</v>
      </c>
      <c r="E707" s="3">
        <v>1500</v>
      </c>
      <c r="F707" s="5">
        <v>0</v>
      </c>
    </row>
    <row r="708" spans="1:6" x14ac:dyDescent="0.25">
      <c r="A708" s="2" t="s">
        <v>620</v>
      </c>
      <c r="B708" s="2" t="s">
        <v>621</v>
      </c>
      <c r="C708" s="3">
        <v>0</v>
      </c>
      <c r="D708" s="3">
        <v>0</v>
      </c>
      <c r="E708" s="3">
        <v>1000</v>
      </c>
      <c r="F708" s="5">
        <v>0</v>
      </c>
    </row>
    <row r="709" spans="1:6" ht="15" customHeight="1" x14ac:dyDescent="0.25">
      <c r="A709" s="2" t="s">
        <v>622</v>
      </c>
      <c r="B709" s="2" t="s">
        <v>64</v>
      </c>
      <c r="C709" s="3">
        <v>751.96</v>
      </c>
      <c r="D709" s="3">
        <v>194.21</v>
      </c>
      <c r="E709" s="3">
        <v>2500</v>
      </c>
      <c r="F709" s="5">
        <v>0</v>
      </c>
    </row>
    <row r="710" spans="1:6" ht="15" customHeight="1" x14ac:dyDescent="0.25">
      <c r="A710" s="2" t="s">
        <v>623</v>
      </c>
      <c r="B710" s="2" t="s">
        <v>624</v>
      </c>
      <c r="C710" s="3">
        <v>0</v>
      </c>
      <c r="D710" s="3">
        <v>0</v>
      </c>
      <c r="E710" s="3">
        <v>1000</v>
      </c>
      <c r="F710" s="5">
        <v>0</v>
      </c>
    </row>
    <row r="711" spans="1:6" ht="15" customHeight="1" x14ac:dyDescent="0.25">
      <c r="A711" s="2" t="s">
        <v>625</v>
      </c>
      <c r="B711" s="2" t="s">
        <v>626</v>
      </c>
      <c r="C711" s="3">
        <v>244.5</v>
      </c>
      <c r="D711" s="3">
        <v>0</v>
      </c>
      <c r="E711" s="3">
        <v>0</v>
      </c>
      <c r="F711" s="5">
        <v>0</v>
      </c>
    </row>
    <row r="712" spans="1:6" ht="15" customHeight="1" x14ac:dyDescent="0.25">
      <c r="A712" s="2" t="s">
        <v>627</v>
      </c>
      <c r="B712" s="2" t="s">
        <v>628</v>
      </c>
      <c r="C712" s="3">
        <v>17224.09</v>
      </c>
      <c r="D712" s="3">
        <v>5588.71</v>
      </c>
      <c r="E712" s="3">
        <v>23000</v>
      </c>
      <c r="F712" s="5">
        <v>0</v>
      </c>
    </row>
    <row r="713" spans="1:6" ht="15" customHeight="1" x14ac:dyDescent="0.25">
      <c r="A713" s="1" t="s">
        <v>4</v>
      </c>
      <c r="B713" s="1" t="s">
        <v>2</v>
      </c>
      <c r="C713" s="4">
        <v>606780.96</v>
      </c>
      <c r="D713" s="4">
        <v>255892.22</v>
      </c>
      <c r="E713" s="6">
        <f>SUM(E673:E712)</f>
        <v>658799.98</v>
      </c>
      <c r="F713" s="6">
        <f>SUM(F673:F712)</f>
        <v>0</v>
      </c>
    </row>
    <row r="714" spans="1:6" x14ac:dyDescent="0.25">
      <c r="A714" s="1" t="s">
        <v>2</v>
      </c>
      <c r="B714" s="1" t="s">
        <v>2</v>
      </c>
      <c r="C714" s="1" t="s">
        <v>2</v>
      </c>
      <c r="D714" s="1" t="s">
        <v>2</v>
      </c>
      <c r="E714" s="1" t="s">
        <v>2</v>
      </c>
      <c r="F714" s="1" t="s">
        <v>2</v>
      </c>
    </row>
    <row r="715" spans="1:6" ht="15" customHeight="1" x14ac:dyDescent="0.25">
      <c r="A715" s="1" t="s">
        <v>557</v>
      </c>
      <c r="B715" s="1" t="s">
        <v>2</v>
      </c>
    </row>
    <row r="716" spans="1:6" ht="15" customHeight="1" x14ac:dyDescent="0.25">
      <c r="A716" s="2" t="s">
        <v>629</v>
      </c>
      <c r="B716" s="2" t="s">
        <v>630</v>
      </c>
      <c r="C716" s="3">
        <v>0</v>
      </c>
      <c r="D716" s="3">
        <v>0</v>
      </c>
      <c r="E716" s="3">
        <v>7500</v>
      </c>
      <c r="F716" s="5">
        <v>0</v>
      </c>
    </row>
    <row r="717" spans="1:6" ht="15" customHeight="1" x14ac:dyDescent="0.25">
      <c r="A717" s="2" t="s">
        <v>631</v>
      </c>
      <c r="B717" s="2" t="s">
        <v>632</v>
      </c>
      <c r="C717" s="3">
        <v>0</v>
      </c>
      <c r="D717" s="3">
        <v>0</v>
      </c>
      <c r="E717" s="3">
        <v>50000</v>
      </c>
      <c r="F717" s="5">
        <v>0</v>
      </c>
    </row>
    <row r="718" spans="1:6" ht="15" customHeight="1" x14ac:dyDescent="0.25">
      <c r="A718" s="2" t="s">
        <v>633</v>
      </c>
      <c r="B718" s="2" t="s">
        <v>634</v>
      </c>
      <c r="C718" s="3">
        <v>266413.5</v>
      </c>
      <c r="D718" s="3">
        <v>14007.81</v>
      </c>
      <c r="E718" s="3">
        <v>0</v>
      </c>
      <c r="F718" s="5">
        <v>0</v>
      </c>
    </row>
    <row r="719" spans="1:6" ht="15" customHeight="1" x14ac:dyDescent="0.25">
      <c r="A719" s="2" t="s">
        <v>635</v>
      </c>
      <c r="B719" s="2" t="s">
        <v>636</v>
      </c>
      <c r="C719" s="3">
        <v>0</v>
      </c>
      <c r="D719" s="3">
        <v>0</v>
      </c>
      <c r="E719" s="3">
        <v>5000</v>
      </c>
      <c r="F719" s="5">
        <v>0</v>
      </c>
    </row>
    <row r="720" spans="1:6" ht="15" customHeight="1" x14ac:dyDescent="0.25">
      <c r="A720" s="2" t="s">
        <v>637</v>
      </c>
      <c r="B720" s="2" t="s">
        <v>638</v>
      </c>
      <c r="C720" s="3">
        <v>0</v>
      </c>
      <c r="D720" s="3">
        <v>0</v>
      </c>
      <c r="E720" s="3">
        <v>0</v>
      </c>
      <c r="F720" s="5">
        <v>0</v>
      </c>
    </row>
    <row r="721" spans="1:10" ht="15" customHeight="1" x14ac:dyDescent="0.25">
      <c r="A721" s="2" t="s">
        <v>639</v>
      </c>
      <c r="B721" s="2" t="s">
        <v>640</v>
      </c>
      <c r="C721" s="3">
        <v>0</v>
      </c>
      <c r="D721" s="3">
        <v>0</v>
      </c>
      <c r="E721" s="3">
        <v>5000</v>
      </c>
      <c r="F721" s="5">
        <v>0</v>
      </c>
    </row>
    <row r="722" spans="1:10" ht="15" customHeight="1" x14ac:dyDescent="0.25">
      <c r="A722" s="2" t="s">
        <v>641</v>
      </c>
      <c r="B722" s="2" t="s">
        <v>642</v>
      </c>
      <c r="C722" s="3">
        <v>25406.22</v>
      </c>
      <c r="D722" s="3">
        <v>0</v>
      </c>
      <c r="E722" s="3">
        <v>0</v>
      </c>
      <c r="F722" s="5">
        <v>0</v>
      </c>
    </row>
    <row r="723" spans="1:10" ht="15" customHeight="1" x14ac:dyDescent="0.25">
      <c r="A723" s="1" t="s">
        <v>560</v>
      </c>
      <c r="B723" s="1" t="s">
        <v>2</v>
      </c>
      <c r="C723" s="4">
        <v>291819.71999999997</v>
      </c>
      <c r="D723" s="4">
        <v>14007.81</v>
      </c>
      <c r="E723" s="6">
        <f>SUM(E716:E722)</f>
        <v>67500</v>
      </c>
      <c r="F723" s="6">
        <f>SUM(F716:F722)</f>
        <v>0</v>
      </c>
    </row>
    <row r="724" spans="1:10" x14ac:dyDescent="0.25">
      <c r="A724" s="1" t="s">
        <v>2</v>
      </c>
      <c r="B724" s="1" t="s">
        <v>2</v>
      </c>
      <c r="C724" s="1" t="s">
        <v>2</v>
      </c>
      <c r="D724" s="1" t="s">
        <v>2</v>
      </c>
      <c r="E724" s="1" t="s">
        <v>2</v>
      </c>
      <c r="F724" s="1" t="s">
        <v>2</v>
      </c>
    </row>
    <row r="725" spans="1:10" x14ac:dyDescent="0.25">
      <c r="A725" s="1" t="s">
        <v>643</v>
      </c>
      <c r="B725" s="1" t="s">
        <v>2</v>
      </c>
      <c r="C725" s="4">
        <v>898600.68</v>
      </c>
      <c r="D725" s="4">
        <v>269900.03000000003</v>
      </c>
      <c r="E725" s="6">
        <f>E713+E723</f>
        <v>726299.98</v>
      </c>
      <c r="F725" s="6">
        <f>F713+F723</f>
        <v>0</v>
      </c>
    </row>
    <row r="726" spans="1:10" x14ac:dyDescent="0.25">
      <c r="A726" s="1" t="s">
        <v>2</v>
      </c>
      <c r="B726" s="1" t="s">
        <v>2</v>
      </c>
      <c r="C726" s="1" t="s">
        <v>2</v>
      </c>
      <c r="D726" s="1" t="s">
        <v>2</v>
      </c>
      <c r="E726" s="1" t="s">
        <v>2</v>
      </c>
      <c r="F726" s="1" t="s">
        <v>2</v>
      </c>
    </row>
    <row r="727" spans="1:10" ht="15" customHeight="1" x14ac:dyDescent="0.25">
      <c r="A727" s="1" t="s">
        <v>644</v>
      </c>
      <c r="B727" s="1" t="s">
        <v>2</v>
      </c>
    </row>
    <row r="728" spans="1:10" ht="15" customHeight="1" x14ac:dyDescent="0.25">
      <c r="A728" s="2" t="s">
        <v>645</v>
      </c>
      <c r="B728" s="2" t="s">
        <v>646</v>
      </c>
      <c r="C728" s="3">
        <v>2304.4299999999998</v>
      </c>
      <c r="D728" s="3">
        <v>0</v>
      </c>
      <c r="E728" s="3">
        <v>2379.06</v>
      </c>
      <c r="F728" s="5">
        <v>0</v>
      </c>
    </row>
    <row r="729" spans="1:10" ht="15" customHeight="1" x14ac:dyDescent="0.25">
      <c r="A729" s="1" t="s">
        <v>647</v>
      </c>
      <c r="B729" s="1" t="s">
        <v>2</v>
      </c>
      <c r="C729" s="4">
        <v>2304.4299999999998</v>
      </c>
      <c r="D729" s="4">
        <v>0</v>
      </c>
      <c r="E729" s="6">
        <f>SUM(E728)</f>
        <v>2379.06</v>
      </c>
      <c r="F729" s="6">
        <f>SUM(F728)</f>
        <v>0</v>
      </c>
    </row>
    <row r="730" spans="1:10" x14ac:dyDescent="0.25">
      <c r="A730" s="1" t="s">
        <v>2</v>
      </c>
      <c r="B730" s="1" t="s">
        <v>2</v>
      </c>
      <c r="C730" s="1" t="s">
        <v>2</v>
      </c>
      <c r="D730" s="1" t="s">
        <v>2</v>
      </c>
      <c r="E730" s="1" t="s">
        <v>2</v>
      </c>
      <c r="F730" s="1" t="s">
        <v>2</v>
      </c>
      <c r="J730" s="41"/>
    </row>
    <row r="731" spans="1:10" ht="15" customHeight="1" x14ac:dyDescent="0.25">
      <c r="A731" s="1" t="s">
        <v>648</v>
      </c>
      <c r="B731" s="1" t="s">
        <v>2</v>
      </c>
    </row>
    <row r="732" spans="1:10" ht="15" customHeight="1" x14ac:dyDescent="0.25">
      <c r="A732" s="2" t="s">
        <v>649</v>
      </c>
      <c r="B732" s="2" t="s">
        <v>650</v>
      </c>
      <c r="C732" s="3">
        <v>88168.97</v>
      </c>
      <c r="D732" s="3">
        <v>55208.32</v>
      </c>
      <c r="E732" s="3">
        <v>120000</v>
      </c>
      <c r="F732" s="5">
        <v>0</v>
      </c>
    </row>
    <row r="733" spans="1:10" ht="15" customHeight="1" x14ac:dyDescent="0.25">
      <c r="A733" s="2" t="s">
        <v>651</v>
      </c>
      <c r="B733" s="2" t="s">
        <v>652</v>
      </c>
      <c r="C733" s="3">
        <v>91935.81</v>
      </c>
      <c r="D733" s="3">
        <v>46999.040000000001</v>
      </c>
      <c r="E733" s="3">
        <v>100993.65</v>
      </c>
      <c r="F733" s="5">
        <v>0</v>
      </c>
    </row>
    <row r="734" spans="1:10" ht="15" customHeight="1" x14ac:dyDescent="0.25">
      <c r="A734" s="2" t="s">
        <v>653</v>
      </c>
      <c r="B734" s="2" t="s">
        <v>654</v>
      </c>
      <c r="C734" s="3">
        <v>75433.850000000006</v>
      </c>
      <c r="D734" s="3">
        <v>35429.379999999997</v>
      </c>
      <c r="E734" s="3">
        <v>77414.399999999994</v>
      </c>
      <c r="F734" s="5">
        <v>0</v>
      </c>
    </row>
    <row r="735" spans="1:10" ht="15" customHeight="1" x14ac:dyDescent="0.25">
      <c r="A735" s="2" t="s">
        <v>655</v>
      </c>
      <c r="B735" s="2" t="s">
        <v>656</v>
      </c>
      <c r="C735" s="3">
        <v>74890.509999999995</v>
      </c>
      <c r="D735" s="3">
        <v>35758.06</v>
      </c>
      <c r="E735" s="3">
        <v>86135.2</v>
      </c>
      <c r="F735" s="5">
        <v>0</v>
      </c>
    </row>
    <row r="736" spans="1:10" x14ac:dyDescent="0.25">
      <c r="A736" s="2" t="s">
        <v>657</v>
      </c>
      <c r="B736" s="2" t="s">
        <v>658</v>
      </c>
      <c r="C736" s="3">
        <v>0</v>
      </c>
      <c r="D736" s="3">
        <v>0</v>
      </c>
      <c r="E736" s="3">
        <v>-30000</v>
      </c>
      <c r="F736" s="5">
        <v>0</v>
      </c>
    </row>
    <row r="737" spans="1:6" ht="15" customHeight="1" x14ac:dyDescent="0.25">
      <c r="A737" s="2" t="s">
        <v>659</v>
      </c>
      <c r="B737" s="2" t="s">
        <v>660</v>
      </c>
      <c r="C737" s="3">
        <v>0</v>
      </c>
      <c r="D737" s="3">
        <v>0</v>
      </c>
      <c r="E737" s="3">
        <v>0</v>
      </c>
      <c r="F737" s="5">
        <v>0</v>
      </c>
    </row>
    <row r="738" spans="1:6" ht="15" customHeight="1" x14ac:dyDescent="0.25">
      <c r="A738" s="2" t="s">
        <v>661</v>
      </c>
      <c r="B738" s="2" t="s">
        <v>29</v>
      </c>
      <c r="C738" s="3">
        <v>67683.360000000001</v>
      </c>
      <c r="D738" s="3">
        <v>42309.16</v>
      </c>
      <c r="E738" s="3">
        <v>83782.84</v>
      </c>
      <c r="F738" s="5">
        <v>0</v>
      </c>
    </row>
    <row r="739" spans="1:6" ht="15" customHeight="1" x14ac:dyDescent="0.25">
      <c r="A739" s="2" t="s">
        <v>662</v>
      </c>
      <c r="B739" s="2" t="s">
        <v>128</v>
      </c>
      <c r="C739" s="3">
        <v>962.78</v>
      </c>
      <c r="D739" s="3">
        <v>439.12</v>
      </c>
      <c r="E739" s="3">
        <v>1152.02</v>
      </c>
      <c r="F739" s="5">
        <v>0</v>
      </c>
    </row>
    <row r="740" spans="1:6" ht="15" customHeight="1" x14ac:dyDescent="0.25">
      <c r="A740" s="2" t="s">
        <v>663</v>
      </c>
      <c r="B740" s="2" t="s">
        <v>33</v>
      </c>
      <c r="C740" s="3">
        <v>42836.13</v>
      </c>
      <c r="D740" s="3">
        <v>21457.439999999999</v>
      </c>
      <c r="E740" s="3">
        <v>43832.52</v>
      </c>
      <c r="F740" s="5">
        <v>0</v>
      </c>
    </row>
    <row r="741" spans="1:6" ht="15" customHeight="1" x14ac:dyDescent="0.25">
      <c r="A741" s="2" t="s">
        <v>664</v>
      </c>
      <c r="B741" s="2" t="s">
        <v>11</v>
      </c>
      <c r="C741" s="3">
        <v>25048.93</v>
      </c>
      <c r="D741" s="3">
        <v>13126.84</v>
      </c>
      <c r="E741" s="3">
        <v>27122.560000000001</v>
      </c>
      <c r="F741" s="5">
        <v>0</v>
      </c>
    </row>
    <row r="742" spans="1:6" ht="15" customHeight="1" x14ac:dyDescent="0.25">
      <c r="A742" s="2" t="s">
        <v>665</v>
      </c>
      <c r="B742" s="2" t="s">
        <v>85</v>
      </c>
      <c r="C742" s="3">
        <v>2800</v>
      </c>
      <c r="D742" s="3">
        <v>0</v>
      </c>
      <c r="E742" s="3">
        <v>0</v>
      </c>
      <c r="F742" s="5">
        <v>0</v>
      </c>
    </row>
    <row r="743" spans="1:6" ht="15" customHeight="1" x14ac:dyDescent="0.25">
      <c r="A743" s="2" t="s">
        <v>666</v>
      </c>
      <c r="B743" s="2" t="s">
        <v>13</v>
      </c>
      <c r="C743" s="3">
        <v>484.77</v>
      </c>
      <c r="D743" s="3">
        <v>370.11</v>
      </c>
      <c r="E743" s="3">
        <v>521.17999999999995</v>
      </c>
      <c r="F743" s="5">
        <v>0</v>
      </c>
    </row>
    <row r="744" spans="1:6" ht="15" customHeight="1" x14ac:dyDescent="0.25">
      <c r="A744" s="2" t="s">
        <v>667</v>
      </c>
      <c r="B744" s="2" t="s">
        <v>668</v>
      </c>
      <c r="C744" s="3">
        <v>1325.61</v>
      </c>
      <c r="D744" s="3">
        <v>183.37</v>
      </c>
      <c r="E744" s="3">
        <v>4000</v>
      </c>
      <c r="F744" s="5">
        <v>0</v>
      </c>
    </row>
    <row r="745" spans="1:6" ht="15" customHeight="1" x14ac:dyDescent="0.25">
      <c r="A745" s="2" t="s">
        <v>669</v>
      </c>
      <c r="B745" s="2" t="s">
        <v>670</v>
      </c>
      <c r="C745" s="3">
        <v>240.63</v>
      </c>
      <c r="D745" s="3">
        <v>0</v>
      </c>
      <c r="E745" s="3">
        <v>1000</v>
      </c>
      <c r="F745" s="5">
        <v>0</v>
      </c>
    </row>
    <row r="746" spans="1:6" x14ac:dyDescent="0.25">
      <c r="A746" s="2" t="s">
        <v>671</v>
      </c>
      <c r="B746" s="2" t="s">
        <v>598</v>
      </c>
      <c r="C746" s="3">
        <v>977.84</v>
      </c>
      <c r="D746" s="3">
        <v>4822.92</v>
      </c>
      <c r="E746" s="3">
        <v>4822.92</v>
      </c>
      <c r="F746" s="5">
        <v>0</v>
      </c>
    </row>
    <row r="747" spans="1:6" x14ac:dyDescent="0.25">
      <c r="A747" s="2" t="s">
        <v>672</v>
      </c>
      <c r="B747" s="2" t="s">
        <v>15</v>
      </c>
      <c r="C747" s="3">
        <v>25334.83</v>
      </c>
      <c r="D747" s="3">
        <v>38521.230000000003</v>
      </c>
      <c r="E747" s="3">
        <v>38521.230000000003</v>
      </c>
      <c r="F747" s="5">
        <v>0</v>
      </c>
    </row>
    <row r="748" spans="1:6" ht="15" customHeight="1" x14ac:dyDescent="0.25">
      <c r="A748" s="2" t="s">
        <v>673</v>
      </c>
      <c r="B748" s="2" t="s">
        <v>95</v>
      </c>
      <c r="C748" s="3">
        <v>28700.11</v>
      </c>
      <c r="D748" s="3">
        <v>23370.51</v>
      </c>
      <c r="E748" s="3">
        <v>100000</v>
      </c>
      <c r="F748" s="5">
        <v>0</v>
      </c>
    </row>
    <row r="749" spans="1:6" ht="15" customHeight="1" x14ac:dyDescent="0.25">
      <c r="A749" s="2" t="s">
        <v>674</v>
      </c>
      <c r="B749" s="2" t="s">
        <v>675</v>
      </c>
      <c r="C749" s="3">
        <v>7198.75</v>
      </c>
      <c r="D749" s="3">
        <v>0</v>
      </c>
      <c r="E749" s="3">
        <v>0</v>
      </c>
      <c r="F749" s="5">
        <v>0</v>
      </c>
    </row>
    <row r="750" spans="1:6" ht="15" customHeight="1" x14ac:dyDescent="0.25">
      <c r="A750" s="2" t="s">
        <v>676</v>
      </c>
      <c r="B750" s="2" t="s">
        <v>677</v>
      </c>
      <c r="C750" s="3">
        <v>0</v>
      </c>
      <c r="D750" s="3">
        <v>0</v>
      </c>
      <c r="E750" s="3">
        <v>0</v>
      </c>
      <c r="F750" s="5">
        <v>0</v>
      </c>
    </row>
    <row r="751" spans="1:6" ht="15" customHeight="1" x14ac:dyDescent="0.25">
      <c r="A751" s="2" t="s">
        <v>678</v>
      </c>
      <c r="B751" s="2" t="s">
        <v>679</v>
      </c>
      <c r="C751" s="3">
        <v>0</v>
      </c>
      <c r="D751" s="3">
        <v>0</v>
      </c>
      <c r="E751" s="3">
        <v>20000</v>
      </c>
      <c r="F751" s="5">
        <v>0</v>
      </c>
    </row>
    <row r="752" spans="1:6" ht="15" customHeight="1" x14ac:dyDescent="0.25">
      <c r="A752" s="2" t="s">
        <v>680</v>
      </c>
      <c r="B752" s="2" t="s">
        <v>681</v>
      </c>
      <c r="C752" s="3">
        <v>0</v>
      </c>
      <c r="D752" s="3">
        <v>0</v>
      </c>
      <c r="E752" s="3">
        <v>5000</v>
      </c>
      <c r="F752" s="5">
        <v>0</v>
      </c>
    </row>
    <row r="753" spans="1:6" ht="15" customHeight="1" x14ac:dyDescent="0.25">
      <c r="A753" s="2" t="s">
        <v>682</v>
      </c>
      <c r="B753" s="2" t="s">
        <v>683</v>
      </c>
      <c r="C753" s="3">
        <v>23811.5</v>
      </c>
      <c r="D753" s="3">
        <v>6601</v>
      </c>
      <c r="E753" s="3">
        <v>25000</v>
      </c>
      <c r="F753" s="5">
        <v>0</v>
      </c>
    </row>
    <row r="754" spans="1:6" ht="15" customHeight="1" x14ac:dyDescent="0.25">
      <c r="A754" s="2" t="s">
        <v>684</v>
      </c>
      <c r="B754" s="2" t="s">
        <v>99</v>
      </c>
      <c r="C754" s="3">
        <v>1372.43</v>
      </c>
      <c r="D754" s="3">
        <v>477.19</v>
      </c>
      <c r="E754" s="3">
        <v>2000</v>
      </c>
      <c r="F754" s="5">
        <v>0</v>
      </c>
    </row>
    <row r="755" spans="1:6" ht="15" customHeight="1" x14ac:dyDescent="0.25">
      <c r="A755" s="2" t="s">
        <v>685</v>
      </c>
      <c r="B755" s="2" t="s">
        <v>59</v>
      </c>
      <c r="C755" s="3">
        <v>1008.96</v>
      </c>
      <c r="D755" s="3">
        <v>785.87</v>
      </c>
      <c r="E755" s="3">
        <v>2000</v>
      </c>
      <c r="F755" s="5">
        <v>0</v>
      </c>
    </row>
    <row r="756" spans="1:6" ht="15" customHeight="1" x14ac:dyDescent="0.25">
      <c r="A756" s="2" t="s">
        <v>686</v>
      </c>
      <c r="B756" s="2" t="s">
        <v>17</v>
      </c>
      <c r="C756" s="3">
        <v>903.01</v>
      </c>
      <c r="D756" s="3">
        <v>0</v>
      </c>
      <c r="E756" s="3">
        <v>6000</v>
      </c>
      <c r="F756" s="5">
        <v>0</v>
      </c>
    </row>
    <row r="757" spans="1:6" ht="15" customHeight="1" x14ac:dyDescent="0.25">
      <c r="A757" s="2" t="s">
        <v>687</v>
      </c>
      <c r="B757" s="2" t="s">
        <v>688</v>
      </c>
      <c r="C757" s="3">
        <v>6850.25</v>
      </c>
      <c r="D757" s="3">
        <v>1205.78</v>
      </c>
      <c r="E757" s="3">
        <v>9000</v>
      </c>
      <c r="F757" s="5">
        <v>0</v>
      </c>
    </row>
    <row r="758" spans="1:6" ht="15" customHeight="1" x14ac:dyDescent="0.25">
      <c r="A758" s="2" t="s">
        <v>689</v>
      </c>
      <c r="B758" s="2" t="s">
        <v>690</v>
      </c>
      <c r="C758" s="3">
        <v>6778.88</v>
      </c>
      <c r="D758" s="3">
        <v>2826.05</v>
      </c>
      <c r="E758" s="3">
        <v>7000</v>
      </c>
      <c r="F758" s="5">
        <v>0</v>
      </c>
    </row>
    <row r="759" spans="1:6" ht="15" customHeight="1" x14ac:dyDescent="0.25">
      <c r="A759" s="2" t="s">
        <v>691</v>
      </c>
      <c r="B759" s="2" t="s">
        <v>692</v>
      </c>
      <c r="C759" s="3">
        <v>3143.28</v>
      </c>
      <c r="D759" s="3">
        <v>1157.68</v>
      </c>
      <c r="E759" s="3">
        <v>3500</v>
      </c>
      <c r="F759" s="5">
        <v>0</v>
      </c>
    </row>
    <row r="760" spans="1:6" ht="15" customHeight="1" x14ac:dyDescent="0.25">
      <c r="A760" s="2" t="s">
        <v>693</v>
      </c>
      <c r="B760" s="2" t="s">
        <v>472</v>
      </c>
      <c r="C760" s="3">
        <v>0</v>
      </c>
      <c r="D760" s="3">
        <v>0</v>
      </c>
      <c r="E760" s="3">
        <v>0</v>
      </c>
      <c r="F760" s="5">
        <v>0</v>
      </c>
    </row>
    <row r="761" spans="1:6" ht="15" customHeight="1" x14ac:dyDescent="0.25">
      <c r="A761" s="2" t="s">
        <v>694</v>
      </c>
      <c r="B761" s="2" t="s">
        <v>64</v>
      </c>
      <c r="C761" s="3">
        <v>2504.48</v>
      </c>
      <c r="D761" s="3">
        <v>0</v>
      </c>
      <c r="E761" s="3">
        <v>2500</v>
      </c>
      <c r="F761" s="5">
        <v>0</v>
      </c>
    </row>
    <row r="762" spans="1:6" ht="15" customHeight="1" x14ac:dyDescent="0.25">
      <c r="A762" s="2" t="s">
        <v>695</v>
      </c>
      <c r="B762" s="2" t="s">
        <v>66</v>
      </c>
      <c r="C762" s="3">
        <v>1207.52</v>
      </c>
      <c r="D762" s="3">
        <v>0</v>
      </c>
      <c r="E762" s="3">
        <v>4500</v>
      </c>
      <c r="F762" s="5">
        <v>0</v>
      </c>
    </row>
    <row r="763" spans="1:6" ht="15" customHeight="1" x14ac:dyDescent="0.25">
      <c r="A763" s="1" t="s">
        <v>696</v>
      </c>
      <c r="B763" s="1" t="s">
        <v>2</v>
      </c>
      <c r="C763" s="4">
        <v>581603.18999999994</v>
      </c>
      <c r="D763" s="4">
        <v>331049.07</v>
      </c>
      <c r="E763" s="6">
        <f>SUM(E732:E762)</f>
        <v>745798.52</v>
      </c>
      <c r="F763" s="6">
        <f>SUM(F732:F762)</f>
        <v>0</v>
      </c>
    </row>
    <row r="764" spans="1:6" x14ac:dyDescent="0.25">
      <c r="A764" s="2" t="s">
        <v>2</v>
      </c>
      <c r="B764" s="2" t="s">
        <v>2</v>
      </c>
      <c r="C764" s="2" t="s">
        <v>2</v>
      </c>
      <c r="D764" s="2" t="s">
        <v>2</v>
      </c>
      <c r="E764" s="2" t="s">
        <v>2</v>
      </c>
      <c r="F764" s="2" t="s">
        <v>2</v>
      </c>
    </row>
    <row r="765" spans="1:6" ht="15" customHeight="1" x14ac:dyDescent="0.25">
      <c r="A765" s="1" t="s">
        <v>698</v>
      </c>
      <c r="B765" s="1" t="s">
        <v>2</v>
      </c>
    </row>
    <row r="766" spans="1:6" ht="15" customHeight="1" x14ac:dyDescent="0.25">
      <c r="A766" s="2" t="s">
        <v>699</v>
      </c>
      <c r="B766" s="2" t="s">
        <v>700</v>
      </c>
      <c r="C766" s="3">
        <v>35504.239999999998</v>
      </c>
      <c r="D766" s="3">
        <v>5531</v>
      </c>
      <c r="E766" s="3">
        <v>13000</v>
      </c>
      <c r="F766" s="5">
        <v>0</v>
      </c>
    </row>
    <row r="767" spans="1:6" ht="15" customHeight="1" x14ac:dyDescent="0.25">
      <c r="A767" s="2" t="s">
        <v>701</v>
      </c>
      <c r="B767" s="2" t="s">
        <v>702</v>
      </c>
      <c r="C767" s="3">
        <v>16000</v>
      </c>
      <c r="D767" s="3">
        <v>0</v>
      </c>
      <c r="E767" s="3">
        <v>0</v>
      </c>
      <c r="F767" s="5">
        <v>0</v>
      </c>
    </row>
    <row r="768" spans="1:6" ht="15" customHeight="1" x14ac:dyDescent="0.25">
      <c r="A768" s="2" t="s">
        <v>703</v>
      </c>
      <c r="B768" s="2" t="s">
        <v>704</v>
      </c>
      <c r="C768" s="3">
        <v>3211.35</v>
      </c>
      <c r="D768" s="3">
        <v>5844.44</v>
      </c>
      <c r="E768" s="3">
        <v>0</v>
      </c>
      <c r="F768" s="5">
        <v>0</v>
      </c>
    </row>
    <row r="769" spans="1:6" ht="15" customHeight="1" x14ac:dyDescent="0.25">
      <c r="A769" s="1" t="s">
        <v>705</v>
      </c>
      <c r="B769" s="1" t="s">
        <v>2</v>
      </c>
      <c r="C769" s="4">
        <v>54715.59</v>
      </c>
      <c r="D769" s="4">
        <v>11375.44</v>
      </c>
      <c r="E769" s="6">
        <f>SUM(E766:E768)</f>
        <v>13000</v>
      </c>
      <c r="F769" s="6">
        <f>SUM(F766:F768)</f>
        <v>0</v>
      </c>
    </row>
    <row r="770" spans="1:6" x14ac:dyDescent="0.25">
      <c r="A770" s="1" t="s">
        <v>2</v>
      </c>
      <c r="B770" s="1" t="s">
        <v>2</v>
      </c>
      <c r="C770" s="1" t="s">
        <v>2</v>
      </c>
      <c r="D770" s="1" t="s">
        <v>2</v>
      </c>
      <c r="E770" s="1" t="s">
        <v>2</v>
      </c>
      <c r="F770" s="1" t="s">
        <v>2</v>
      </c>
    </row>
    <row r="771" spans="1:6" ht="15" customHeight="1" x14ac:dyDescent="0.25">
      <c r="A771" s="1" t="s">
        <v>706</v>
      </c>
      <c r="B771" s="1" t="s">
        <v>2</v>
      </c>
    </row>
    <row r="772" spans="1:6" x14ac:dyDescent="0.25">
      <c r="A772" s="2" t="s">
        <v>707</v>
      </c>
      <c r="B772" s="2" t="s">
        <v>708</v>
      </c>
      <c r="C772" s="3">
        <v>23811.599999999999</v>
      </c>
      <c r="D772" s="3">
        <v>0</v>
      </c>
      <c r="E772" s="3">
        <v>25217</v>
      </c>
      <c r="F772" s="5">
        <v>0</v>
      </c>
    </row>
    <row r="773" spans="1:6" x14ac:dyDescent="0.25">
      <c r="A773" s="2" t="s">
        <v>709</v>
      </c>
      <c r="B773" s="2" t="s">
        <v>710</v>
      </c>
      <c r="C773" s="3">
        <v>50000</v>
      </c>
      <c r="D773" s="3">
        <v>0</v>
      </c>
      <c r="E773" s="3">
        <v>700000</v>
      </c>
      <c r="F773" s="5">
        <v>0</v>
      </c>
    </row>
    <row r="774" spans="1:6" x14ac:dyDescent="0.25">
      <c r="A774" s="2" t="s">
        <v>711</v>
      </c>
      <c r="B774" s="2" t="s">
        <v>712</v>
      </c>
      <c r="C774" s="3">
        <v>515000</v>
      </c>
      <c r="D774" s="3">
        <v>0</v>
      </c>
      <c r="E774" s="3">
        <v>100000</v>
      </c>
      <c r="F774" s="5">
        <v>0</v>
      </c>
    </row>
    <row r="775" spans="1:6" ht="15" customHeight="1" x14ac:dyDescent="0.25">
      <c r="A775" s="2" t="s">
        <v>713</v>
      </c>
      <c r="B775" s="2" t="s">
        <v>714</v>
      </c>
      <c r="C775" s="3">
        <v>570000</v>
      </c>
      <c r="D775" s="3">
        <v>0</v>
      </c>
      <c r="E775" s="3">
        <v>40000</v>
      </c>
      <c r="F775" s="5">
        <v>0</v>
      </c>
    </row>
    <row r="776" spans="1:6" ht="15" customHeight="1" x14ac:dyDescent="0.25">
      <c r="A776" s="2" t="s">
        <v>715</v>
      </c>
      <c r="B776" s="2" t="s">
        <v>716</v>
      </c>
      <c r="C776" s="3">
        <v>0</v>
      </c>
      <c r="D776" s="3">
        <v>0</v>
      </c>
      <c r="E776" s="3">
        <v>0</v>
      </c>
      <c r="F776" s="5">
        <v>0</v>
      </c>
    </row>
    <row r="777" spans="1:6" ht="15" customHeight="1" x14ac:dyDescent="0.25">
      <c r="A777" s="2" t="s">
        <v>717</v>
      </c>
      <c r="B777" s="2" t="s">
        <v>718</v>
      </c>
      <c r="C777" s="3">
        <v>0</v>
      </c>
      <c r="D777" s="3">
        <v>0</v>
      </c>
      <c r="E777" s="3">
        <v>0</v>
      </c>
      <c r="F777" s="5">
        <v>0</v>
      </c>
    </row>
    <row r="778" spans="1:6" ht="15" customHeight="1" x14ac:dyDescent="0.25">
      <c r="A778" s="2" t="s">
        <v>719</v>
      </c>
      <c r="B778" s="2" t="s">
        <v>720</v>
      </c>
      <c r="C778" s="3">
        <v>0</v>
      </c>
      <c r="D778" s="3">
        <v>0</v>
      </c>
      <c r="E778" s="3">
        <v>0</v>
      </c>
      <c r="F778" s="5">
        <v>0</v>
      </c>
    </row>
    <row r="779" spans="1:6" x14ac:dyDescent="0.25">
      <c r="A779" s="2" t="s">
        <v>721</v>
      </c>
      <c r="B779" s="2" t="s">
        <v>722</v>
      </c>
      <c r="C779" s="3">
        <v>0</v>
      </c>
      <c r="D779" s="3">
        <v>0</v>
      </c>
      <c r="E779" s="3">
        <v>0</v>
      </c>
      <c r="F779" s="5">
        <v>0</v>
      </c>
    </row>
    <row r="780" spans="1:6" ht="15" customHeight="1" x14ac:dyDescent="0.25">
      <c r="A780" s="2" t="s">
        <v>723</v>
      </c>
      <c r="B780" s="2" t="s">
        <v>724</v>
      </c>
      <c r="C780" s="3">
        <v>0</v>
      </c>
      <c r="D780" s="3">
        <v>0</v>
      </c>
      <c r="E780" s="3">
        <v>0</v>
      </c>
      <c r="F780" s="5">
        <v>0</v>
      </c>
    </row>
    <row r="781" spans="1:6" ht="15" customHeight="1" x14ac:dyDescent="0.25">
      <c r="A781" s="2" t="s">
        <v>725</v>
      </c>
      <c r="B781" s="2" t="s">
        <v>726</v>
      </c>
      <c r="C781" s="3">
        <v>0</v>
      </c>
      <c r="D781" s="3">
        <v>0</v>
      </c>
      <c r="E781" s="3">
        <v>0</v>
      </c>
      <c r="F781" s="5">
        <v>0</v>
      </c>
    </row>
    <row r="782" spans="1:6" ht="15" customHeight="1" x14ac:dyDescent="0.25">
      <c r="A782" s="2" t="s">
        <v>727</v>
      </c>
      <c r="B782" s="2" t="s">
        <v>728</v>
      </c>
      <c r="C782" s="3">
        <v>40277.4</v>
      </c>
      <c r="D782" s="3">
        <v>0</v>
      </c>
      <c r="E782" s="3">
        <v>0</v>
      </c>
      <c r="F782" s="5">
        <v>0</v>
      </c>
    </row>
    <row r="783" spans="1:6" ht="15" customHeight="1" x14ac:dyDescent="0.25">
      <c r="A783" s="2" t="s">
        <v>729</v>
      </c>
      <c r="B783" s="2" t="s">
        <v>730</v>
      </c>
      <c r="C783" s="3">
        <v>33976.43</v>
      </c>
      <c r="D783" s="3">
        <v>0</v>
      </c>
      <c r="E783" s="3">
        <v>0</v>
      </c>
      <c r="F783" s="5">
        <v>0</v>
      </c>
    </row>
    <row r="784" spans="1:6" ht="15" customHeight="1" x14ac:dyDescent="0.25">
      <c r="A784" s="2" t="s">
        <v>731</v>
      </c>
      <c r="B784" s="2" t="s">
        <v>732</v>
      </c>
      <c r="C784" s="3">
        <v>0</v>
      </c>
      <c r="D784" s="3">
        <v>0</v>
      </c>
      <c r="E784" s="3">
        <v>40000</v>
      </c>
      <c r="F784" s="5">
        <v>0</v>
      </c>
    </row>
    <row r="785" spans="1:7" ht="15" customHeight="1" x14ac:dyDescent="0.25">
      <c r="A785" s="2" t="s">
        <v>733</v>
      </c>
      <c r="B785" s="2" t="s">
        <v>734</v>
      </c>
      <c r="C785" s="3">
        <v>0</v>
      </c>
      <c r="D785" s="3">
        <v>0</v>
      </c>
      <c r="E785" s="3">
        <v>40000</v>
      </c>
      <c r="F785" s="5">
        <v>0</v>
      </c>
    </row>
    <row r="786" spans="1:7" ht="15" customHeight="1" x14ac:dyDescent="0.25">
      <c r="A786" s="2" t="s">
        <v>735</v>
      </c>
      <c r="B786" s="2" t="s">
        <v>736</v>
      </c>
      <c r="C786" s="3">
        <v>0</v>
      </c>
      <c r="D786" s="3">
        <v>0</v>
      </c>
      <c r="E786" s="3">
        <v>100000</v>
      </c>
      <c r="F786" s="5">
        <v>0</v>
      </c>
    </row>
    <row r="787" spans="1:7" ht="15" customHeight="1" x14ac:dyDescent="0.25">
      <c r="A787" s="1" t="s">
        <v>737</v>
      </c>
      <c r="B787" s="1" t="s">
        <v>2</v>
      </c>
      <c r="C787" s="4">
        <v>1233065.43</v>
      </c>
      <c r="D787" s="4">
        <v>0</v>
      </c>
      <c r="E787" s="6">
        <f>SUM(E772:E786)</f>
        <v>1045217</v>
      </c>
      <c r="F787" s="6">
        <f>SUM(F772:F786)</f>
        <v>0</v>
      </c>
    </row>
    <row r="788" spans="1:7" x14ac:dyDescent="0.25">
      <c r="A788" s="1" t="s">
        <v>2</v>
      </c>
      <c r="B788" s="1" t="s">
        <v>2</v>
      </c>
      <c r="C788" s="1" t="s">
        <v>2</v>
      </c>
      <c r="D788" s="1" t="s">
        <v>2</v>
      </c>
      <c r="E788" s="1" t="s">
        <v>2</v>
      </c>
      <c r="F788" s="1" t="s">
        <v>2</v>
      </c>
    </row>
    <row r="789" spans="1:7" ht="15" customHeight="1" x14ac:dyDescent="0.25">
      <c r="A789" s="1" t="s">
        <v>738</v>
      </c>
      <c r="B789" s="1" t="s">
        <v>2</v>
      </c>
      <c r="C789" s="4">
        <v>11855770.960000001</v>
      </c>
      <c r="D789" s="4">
        <v>5063979.25</v>
      </c>
      <c r="E789" s="6">
        <f>E787+E769+E763+E729+E725+E670+E666+E662+E647+E617+E612+E587+E566+E481+E429+E422+E403+E381+E365+E343+E314</f>
        <v>11900688.880000003</v>
      </c>
      <c r="F789" s="6">
        <f>F787+F769+F763+F729+F725+F670+F666+F662+F647+F617+F612+F587+F564+F507+F492+F481+F429+F422+F403+F381+F365+F343+F314</f>
        <v>0</v>
      </c>
    </row>
    <row r="790" spans="1:7" ht="15" customHeight="1" x14ac:dyDescent="0.25">
      <c r="A790" s="25" t="s">
        <v>2550</v>
      </c>
      <c r="B790" s="25"/>
      <c r="C790" s="26">
        <f t="shared" ref="C790:E790" si="1">C6+C303-C789</f>
        <v>6294005.1400000006</v>
      </c>
      <c r="D790" s="26">
        <f t="shared" si="1"/>
        <v>6860374.6699999999</v>
      </c>
      <c r="E790" s="26">
        <f t="shared" si="1"/>
        <v>4060221.9399999976</v>
      </c>
      <c r="F790" s="26">
        <f>F6+F303-F789</f>
        <v>4060221.9399999976</v>
      </c>
      <c r="G790" s="26"/>
    </row>
    <row r="791" spans="1:7" x14ac:dyDescent="0.25">
      <c r="A791" s="1" t="s">
        <v>2</v>
      </c>
      <c r="B791" s="1" t="s">
        <v>2</v>
      </c>
      <c r="C791" s="1" t="s">
        <v>2</v>
      </c>
      <c r="D791" s="1" t="s">
        <v>2</v>
      </c>
      <c r="E791" s="24"/>
      <c r="F791" s="1" t="s">
        <v>2</v>
      </c>
    </row>
    <row r="792" spans="1:7" ht="15" customHeight="1" x14ac:dyDescent="0.25">
      <c r="A792" s="27" t="s">
        <v>2551</v>
      </c>
      <c r="B792" s="27"/>
      <c r="C792" s="28">
        <v>156253.20000000001</v>
      </c>
      <c r="D792" s="28">
        <v>206453.45</v>
      </c>
      <c r="E792" s="28">
        <v>206453.45</v>
      </c>
      <c r="F792" s="28">
        <f>E810</f>
        <v>906453.45</v>
      </c>
      <c r="G792" s="27"/>
    </row>
    <row r="793" spans="1:7" x14ac:dyDescent="0.25">
      <c r="A793" s="23" t="s">
        <v>739</v>
      </c>
      <c r="B793" s="23" t="s">
        <v>2</v>
      </c>
      <c r="C793" s="29"/>
      <c r="D793" s="29"/>
      <c r="E793" s="29"/>
      <c r="F793" s="29"/>
      <c r="G793" s="29"/>
    </row>
    <row r="794" spans="1:7" x14ac:dyDescent="0.25">
      <c r="A794" s="23" t="s">
        <v>2026</v>
      </c>
      <c r="B794" s="23" t="s">
        <v>2</v>
      </c>
      <c r="C794" s="29"/>
      <c r="D794" s="29"/>
      <c r="E794" s="29"/>
      <c r="F794" s="29"/>
      <c r="G794" s="29"/>
    </row>
    <row r="795" spans="1:7" x14ac:dyDescent="0.25">
      <c r="A795" s="23" t="s">
        <v>2175</v>
      </c>
      <c r="B795" s="23" t="s">
        <v>2</v>
      </c>
      <c r="C795" s="29"/>
      <c r="D795" s="29"/>
      <c r="E795" s="29"/>
      <c r="F795" s="29"/>
      <c r="G795" s="29"/>
    </row>
    <row r="796" spans="1:7" x14ac:dyDescent="0.25">
      <c r="A796" s="23" t="s">
        <v>2176</v>
      </c>
      <c r="B796" s="23" t="s">
        <v>2</v>
      </c>
      <c r="C796" s="29"/>
      <c r="D796" s="29"/>
      <c r="E796" s="29"/>
      <c r="F796" s="29"/>
      <c r="G796" s="29"/>
    </row>
    <row r="797" spans="1:7" x14ac:dyDescent="0.25">
      <c r="A797" s="30" t="s">
        <v>2552</v>
      </c>
      <c r="B797" s="30" t="s">
        <v>2409</v>
      </c>
      <c r="C797" s="31">
        <v>200.25</v>
      </c>
      <c r="D797" s="31">
        <v>151.88999999999999</v>
      </c>
      <c r="E797" s="31">
        <v>0</v>
      </c>
      <c r="F797" s="31">
        <v>0</v>
      </c>
      <c r="G797" s="29"/>
    </row>
    <row r="798" spans="1:7" x14ac:dyDescent="0.25">
      <c r="A798" s="23" t="s">
        <v>2179</v>
      </c>
      <c r="B798" s="23" t="s">
        <v>2</v>
      </c>
      <c r="C798" s="32">
        <v>200.25</v>
      </c>
      <c r="D798" s="32">
        <v>151.88999999999999</v>
      </c>
      <c r="E798" s="32">
        <f>SUM(E797)</f>
        <v>0</v>
      </c>
      <c r="F798" s="32">
        <f>SUM(F797)</f>
        <v>0</v>
      </c>
      <c r="G798" s="29"/>
    </row>
    <row r="799" spans="1:7" x14ac:dyDescent="0.25">
      <c r="A799" s="23" t="s">
        <v>2</v>
      </c>
      <c r="B799" s="23" t="s">
        <v>2</v>
      </c>
      <c r="C799" s="23" t="s">
        <v>2</v>
      </c>
      <c r="D799" s="23" t="s">
        <v>2</v>
      </c>
      <c r="E799" s="23" t="s">
        <v>2</v>
      </c>
      <c r="F799" s="23" t="s">
        <v>2</v>
      </c>
      <c r="G799" s="29"/>
    </row>
    <row r="800" spans="1:7" x14ac:dyDescent="0.25">
      <c r="A800" s="23" t="s">
        <v>2180</v>
      </c>
      <c r="B800" s="23" t="s">
        <v>2</v>
      </c>
      <c r="C800" s="32">
        <v>200.25</v>
      </c>
      <c r="D800" s="32">
        <v>151.88999999999999</v>
      </c>
      <c r="E800" s="32">
        <f>E798</f>
        <v>0</v>
      </c>
      <c r="F800" s="32">
        <f>F798</f>
        <v>0</v>
      </c>
      <c r="G800" s="29"/>
    </row>
    <row r="801" spans="1:7" x14ac:dyDescent="0.25">
      <c r="A801" s="23" t="s">
        <v>2</v>
      </c>
      <c r="B801" s="23" t="s">
        <v>2</v>
      </c>
      <c r="C801" s="23" t="s">
        <v>2</v>
      </c>
      <c r="D801" s="23" t="s">
        <v>2</v>
      </c>
      <c r="E801" s="23" t="s">
        <v>2</v>
      </c>
      <c r="F801" s="23" t="s">
        <v>2</v>
      </c>
      <c r="G801" s="29"/>
    </row>
    <row r="802" spans="1:7" x14ac:dyDescent="0.25">
      <c r="A802" s="23" t="s">
        <v>2553</v>
      </c>
      <c r="B802" s="23" t="s">
        <v>2</v>
      </c>
      <c r="C802" s="29"/>
      <c r="D802" s="29"/>
      <c r="E802" s="29"/>
      <c r="F802" s="29"/>
      <c r="G802" s="29"/>
    </row>
    <row r="803" spans="1:7" x14ac:dyDescent="0.25">
      <c r="A803" s="30" t="s">
        <v>2554</v>
      </c>
      <c r="B803" s="30" t="s">
        <v>2555</v>
      </c>
      <c r="C803" s="31">
        <v>50000</v>
      </c>
      <c r="D803" s="31">
        <v>0</v>
      </c>
      <c r="E803" s="31">
        <v>700000</v>
      </c>
      <c r="F803" s="31">
        <v>0</v>
      </c>
      <c r="G803" s="29"/>
    </row>
    <row r="804" spans="1:7" x14ac:dyDescent="0.25">
      <c r="A804" s="23" t="s">
        <v>2556</v>
      </c>
      <c r="B804" s="23" t="s">
        <v>2</v>
      </c>
      <c r="C804" s="32">
        <v>50000</v>
      </c>
      <c r="D804" s="32">
        <v>0</v>
      </c>
      <c r="E804" s="32">
        <f>SUM(E803)</f>
        <v>700000</v>
      </c>
      <c r="F804" s="32">
        <f>SUM(F803)</f>
        <v>0</v>
      </c>
      <c r="G804" s="29"/>
    </row>
    <row r="805" spans="1:7" x14ac:dyDescent="0.25">
      <c r="A805" s="23" t="s">
        <v>2</v>
      </c>
      <c r="B805" s="23" t="s">
        <v>2</v>
      </c>
      <c r="C805" s="23" t="s">
        <v>2</v>
      </c>
      <c r="D805" s="23" t="s">
        <v>2</v>
      </c>
      <c r="E805" s="23" t="s">
        <v>2</v>
      </c>
      <c r="F805" s="23" t="s">
        <v>2</v>
      </c>
      <c r="G805" s="29"/>
    </row>
    <row r="806" spans="1:7" x14ac:dyDescent="0.25">
      <c r="A806" s="23" t="s">
        <v>2047</v>
      </c>
      <c r="B806" s="23" t="s">
        <v>2</v>
      </c>
      <c r="C806" s="32">
        <v>50200.25</v>
      </c>
      <c r="D806" s="32">
        <v>151.88999999999999</v>
      </c>
      <c r="E806" s="32">
        <f>E804+E800</f>
        <v>700000</v>
      </c>
      <c r="F806" s="32">
        <f>F804+F800</f>
        <v>0</v>
      </c>
      <c r="G806" s="29"/>
    </row>
    <row r="807" spans="1:7" x14ac:dyDescent="0.25">
      <c r="A807" s="1" t="s">
        <v>740</v>
      </c>
      <c r="B807" s="1" t="s">
        <v>2</v>
      </c>
    </row>
    <row r="808" spans="1:7" ht="15" customHeight="1" x14ac:dyDescent="0.25">
      <c r="A808" s="2" t="s">
        <v>741</v>
      </c>
      <c r="B808" s="2" t="s">
        <v>742</v>
      </c>
      <c r="C808" s="3">
        <v>0</v>
      </c>
      <c r="D808" s="3">
        <v>0</v>
      </c>
      <c r="E808" s="3">
        <v>0</v>
      </c>
      <c r="F808" s="5">
        <v>0</v>
      </c>
    </row>
    <row r="809" spans="1:7" ht="15" customHeight="1" x14ac:dyDescent="0.25">
      <c r="A809" s="1" t="s">
        <v>743</v>
      </c>
      <c r="B809" s="1" t="s">
        <v>2</v>
      </c>
      <c r="C809" s="4">
        <v>0</v>
      </c>
      <c r="D809" s="4">
        <v>0</v>
      </c>
      <c r="E809" s="6">
        <f>SUM(E808)</f>
        <v>0</v>
      </c>
      <c r="F809" s="6">
        <f>SUM(F808)</f>
        <v>0</v>
      </c>
    </row>
    <row r="810" spans="1:7" ht="15" customHeight="1" x14ac:dyDescent="0.25">
      <c r="A810" s="25" t="s">
        <v>2557</v>
      </c>
      <c r="B810" s="25"/>
      <c r="C810" s="33">
        <f>C792+C806-C809</f>
        <v>206453.45</v>
      </c>
      <c r="D810" s="33">
        <f>D792+D806-D809</f>
        <v>206605.34000000003</v>
      </c>
      <c r="E810" s="33">
        <f>E792+E806-E809</f>
        <v>906453.45</v>
      </c>
      <c r="F810" s="33">
        <f>F792+F806-F809</f>
        <v>906453.45</v>
      </c>
      <c r="G810" s="25"/>
    </row>
    <row r="811" spans="1:7" x14ac:dyDescent="0.25">
      <c r="A811" s="1" t="s">
        <v>2</v>
      </c>
      <c r="B811" s="1" t="s">
        <v>2</v>
      </c>
      <c r="C811" s="1" t="s">
        <v>2</v>
      </c>
      <c r="D811" s="1" t="s">
        <v>2</v>
      </c>
      <c r="E811" s="1" t="s">
        <v>2</v>
      </c>
      <c r="F811" s="1" t="s">
        <v>2</v>
      </c>
    </row>
    <row r="812" spans="1:7" ht="15" customHeight="1" x14ac:dyDescent="0.25">
      <c r="A812" s="27" t="s">
        <v>2558</v>
      </c>
      <c r="B812" s="27"/>
      <c r="C812" s="28">
        <v>51153.98</v>
      </c>
      <c r="D812" s="28">
        <v>1016610.91</v>
      </c>
      <c r="E812" s="28">
        <v>1016610.91</v>
      </c>
      <c r="F812" s="28">
        <f>E831</f>
        <v>1616610.9100000001</v>
      </c>
      <c r="G812" s="27"/>
    </row>
    <row r="813" spans="1:7" x14ac:dyDescent="0.25">
      <c r="A813" s="23" t="s">
        <v>744</v>
      </c>
      <c r="B813" s="23" t="s">
        <v>2</v>
      </c>
      <c r="C813" s="29"/>
      <c r="D813" s="29"/>
      <c r="E813" s="29"/>
      <c r="F813" s="29"/>
      <c r="G813" s="29"/>
    </row>
    <row r="814" spans="1:7" x14ac:dyDescent="0.25">
      <c r="A814" s="23" t="s">
        <v>2026</v>
      </c>
      <c r="B814" s="23" t="s">
        <v>2</v>
      </c>
      <c r="C814" s="29"/>
      <c r="D814" s="29"/>
      <c r="E814" s="29"/>
      <c r="F814" s="29"/>
      <c r="G814" s="29"/>
    </row>
    <row r="815" spans="1:7" x14ac:dyDescent="0.25">
      <c r="A815" s="23" t="s">
        <v>2175</v>
      </c>
      <c r="B815" s="23" t="s">
        <v>2</v>
      </c>
      <c r="C815" s="29"/>
      <c r="D815" s="29"/>
      <c r="E815" s="29"/>
      <c r="F815" s="29"/>
      <c r="G815" s="29"/>
    </row>
    <row r="816" spans="1:7" x14ac:dyDescent="0.25">
      <c r="A816" s="23" t="s">
        <v>2176</v>
      </c>
      <c r="B816" s="23" t="s">
        <v>2</v>
      </c>
      <c r="C816" s="29"/>
      <c r="D816" s="29"/>
      <c r="E816" s="29"/>
      <c r="F816" s="29"/>
      <c r="G816" s="29"/>
    </row>
    <row r="817" spans="1:7" x14ac:dyDescent="0.25">
      <c r="A817" s="30" t="s">
        <v>2559</v>
      </c>
      <c r="B817" s="30" t="s">
        <v>2409</v>
      </c>
      <c r="C817" s="31">
        <v>456.93</v>
      </c>
      <c r="D817" s="31">
        <v>747.94</v>
      </c>
      <c r="E817" s="31">
        <v>0</v>
      </c>
      <c r="F817" s="31">
        <v>0</v>
      </c>
      <c r="G817" s="29"/>
    </row>
    <row r="818" spans="1:7" x14ac:dyDescent="0.25">
      <c r="A818" s="23" t="s">
        <v>2179</v>
      </c>
      <c r="B818" s="23" t="s">
        <v>2</v>
      </c>
      <c r="C818" s="32">
        <v>456.93</v>
      </c>
      <c r="D818" s="32">
        <v>747.94</v>
      </c>
      <c r="E818" s="32">
        <f>SUM(E817)</f>
        <v>0</v>
      </c>
      <c r="F818" s="32">
        <f>SUM(F817)</f>
        <v>0</v>
      </c>
      <c r="G818" s="29"/>
    </row>
    <row r="819" spans="1:7" x14ac:dyDescent="0.25">
      <c r="A819" s="23" t="s">
        <v>2</v>
      </c>
      <c r="B819" s="23" t="s">
        <v>2</v>
      </c>
      <c r="C819" s="23" t="s">
        <v>2</v>
      </c>
      <c r="D819" s="23" t="s">
        <v>2</v>
      </c>
      <c r="E819" s="23" t="s">
        <v>2</v>
      </c>
      <c r="F819" s="23" t="s">
        <v>2</v>
      </c>
      <c r="G819" s="29"/>
    </row>
    <row r="820" spans="1:7" x14ac:dyDescent="0.25">
      <c r="A820" s="23" t="s">
        <v>2180</v>
      </c>
      <c r="B820" s="23" t="s">
        <v>2</v>
      </c>
      <c r="C820" s="32">
        <v>456.93</v>
      </c>
      <c r="D820" s="32">
        <v>747.94</v>
      </c>
      <c r="E820" s="32">
        <f>E818</f>
        <v>0</v>
      </c>
      <c r="F820" s="32">
        <f>F818</f>
        <v>0</v>
      </c>
      <c r="G820" s="29"/>
    </row>
    <row r="821" spans="1:7" x14ac:dyDescent="0.25">
      <c r="A821" s="23" t="s">
        <v>2</v>
      </c>
      <c r="B821" s="23" t="s">
        <v>2</v>
      </c>
      <c r="C821" s="23" t="s">
        <v>2</v>
      </c>
      <c r="D821" s="23" t="s">
        <v>2</v>
      </c>
      <c r="E821" s="23" t="s">
        <v>2</v>
      </c>
      <c r="F821" s="23" t="s">
        <v>2</v>
      </c>
      <c r="G821" s="29"/>
    </row>
    <row r="822" spans="1:7" x14ac:dyDescent="0.25">
      <c r="A822" s="23" t="s">
        <v>2553</v>
      </c>
      <c r="B822" s="23" t="s">
        <v>2</v>
      </c>
      <c r="C822" s="29"/>
      <c r="D822" s="29"/>
      <c r="E822" s="29"/>
      <c r="F822" s="29"/>
      <c r="G822" s="29"/>
    </row>
    <row r="823" spans="1:7" x14ac:dyDescent="0.25">
      <c r="A823" s="30" t="s">
        <v>2560</v>
      </c>
      <c r="B823" s="30" t="s">
        <v>2561</v>
      </c>
      <c r="C823" s="31">
        <v>500000</v>
      </c>
      <c r="D823" s="31">
        <v>0</v>
      </c>
      <c r="E823" s="31">
        <v>500000</v>
      </c>
      <c r="F823" s="31">
        <v>0</v>
      </c>
      <c r="G823" s="29"/>
    </row>
    <row r="824" spans="1:7" x14ac:dyDescent="0.25">
      <c r="A824" s="30" t="s">
        <v>2562</v>
      </c>
      <c r="B824" s="30" t="s">
        <v>2555</v>
      </c>
      <c r="C824" s="31">
        <v>515000</v>
      </c>
      <c r="D824" s="31">
        <v>0</v>
      </c>
      <c r="E824" s="31">
        <v>100000</v>
      </c>
      <c r="F824" s="31">
        <v>0</v>
      </c>
      <c r="G824" s="29"/>
    </row>
    <row r="825" spans="1:7" x14ac:dyDescent="0.25">
      <c r="A825" s="23" t="s">
        <v>2556</v>
      </c>
      <c r="B825" s="23" t="s">
        <v>2</v>
      </c>
      <c r="C825" s="32">
        <v>1015000</v>
      </c>
      <c r="D825" s="32">
        <v>0</v>
      </c>
      <c r="E825" s="32">
        <f>SUM(E823:E824)</f>
        <v>600000</v>
      </c>
      <c r="F825" s="32">
        <f>SUM(F823:F824)</f>
        <v>0</v>
      </c>
      <c r="G825" s="29"/>
    </row>
    <row r="826" spans="1:7" x14ac:dyDescent="0.25">
      <c r="A826" s="23" t="s">
        <v>2</v>
      </c>
      <c r="B826" s="23" t="s">
        <v>2</v>
      </c>
      <c r="C826" s="23" t="s">
        <v>2</v>
      </c>
      <c r="D826" s="23" t="s">
        <v>2</v>
      </c>
      <c r="E826" s="23" t="s">
        <v>2</v>
      </c>
      <c r="F826" s="23" t="s">
        <v>2</v>
      </c>
      <c r="G826" s="29"/>
    </row>
    <row r="827" spans="1:7" x14ac:dyDescent="0.25">
      <c r="A827" s="23" t="s">
        <v>2047</v>
      </c>
      <c r="B827" s="23" t="s">
        <v>2</v>
      </c>
      <c r="C827" s="32">
        <v>1015456.93</v>
      </c>
      <c r="D827" s="32">
        <v>747.94</v>
      </c>
      <c r="E827" s="32">
        <f>E820+E825</f>
        <v>600000</v>
      </c>
      <c r="F827" s="32">
        <f>F820+F825</f>
        <v>0</v>
      </c>
      <c r="G827" s="29"/>
    </row>
    <row r="828" spans="1:7" x14ac:dyDescent="0.25">
      <c r="A828" s="1" t="s">
        <v>740</v>
      </c>
      <c r="B828" s="1" t="s">
        <v>2</v>
      </c>
    </row>
    <row r="829" spans="1:7" ht="15" customHeight="1" x14ac:dyDescent="0.25">
      <c r="A829" s="2" t="s">
        <v>745</v>
      </c>
      <c r="B829" s="2" t="s">
        <v>746</v>
      </c>
      <c r="C829" s="3">
        <v>50000</v>
      </c>
      <c r="D829" s="3">
        <v>0</v>
      </c>
      <c r="E829" s="3">
        <v>0</v>
      </c>
      <c r="F829" s="5">
        <v>0</v>
      </c>
    </row>
    <row r="830" spans="1:7" ht="15" customHeight="1" x14ac:dyDescent="0.25">
      <c r="A830" s="1" t="s">
        <v>747</v>
      </c>
      <c r="B830" s="1" t="s">
        <v>2</v>
      </c>
      <c r="C830" s="4">
        <v>50000</v>
      </c>
      <c r="D830" s="4">
        <v>0</v>
      </c>
      <c r="E830" s="6">
        <f>SUM(E829)</f>
        <v>0</v>
      </c>
      <c r="F830" s="6">
        <f>SUM(F829)</f>
        <v>0</v>
      </c>
    </row>
    <row r="831" spans="1:7" ht="15" customHeight="1" x14ac:dyDescent="0.25">
      <c r="A831" s="25" t="s">
        <v>2563</v>
      </c>
      <c r="B831" s="25"/>
      <c r="C831" s="33">
        <f>C812+C827-C830</f>
        <v>1016610.9100000001</v>
      </c>
      <c r="D831" s="33">
        <f>D812+D827-D830</f>
        <v>1017358.85</v>
      </c>
      <c r="E831" s="33">
        <f>E812+E827-E830</f>
        <v>1616610.9100000001</v>
      </c>
      <c r="F831" s="33">
        <f>F812+F827-F830</f>
        <v>1616610.9100000001</v>
      </c>
      <c r="G831" s="25"/>
    </row>
    <row r="832" spans="1:7" ht="15" customHeight="1" x14ac:dyDescent="0.25">
      <c r="A832" s="34"/>
      <c r="B832" s="34"/>
      <c r="C832" s="35"/>
      <c r="D832" s="35"/>
      <c r="E832" s="35"/>
      <c r="F832" s="35"/>
      <c r="G832" s="34"/>
    </row>
    <row r="833" spans="1:7" ht="15" customHeight="1" x14ac:dyDescent="0.25">
      <c r="A833" s="27" t="s">
        <v>2569</v>
      </c>
      <c r="B833" s="27" t="s">
        <v>2</v>
      </c>
      <c r="C833" s="28">
        <v>989337.56</v>
      </c>
      <c r="D833" s="28">
        <v>1626745.3</v>
      </c>
      <c r="E833" s="28">
        <v>1626745.3</v>
      </c>
      <c r="F833" s="28">
        <f>E854</f>
        <v>1696745.3</v>
      </c>
      <c r="G833" s="27"/>
    </row>
    <row r="834" spans="1:7" x14ac:dyDescent="0.25">
      <c r="A834" s="23" t="s">
        <v>748</v>
      </c>
      <c r="B834" s="23" t="s">
        <v>2</v>
      </c>
      <c r="C834" s="29"/>
      <c r="D834" s="29"/>
      <c r="E834" s="29"/>
      <c r="F834" s="29"/>
      <c r="G834" s="29"/>
    </row>
    <row r="835" spans="1:7" x14ac:dyDescent="0.25">
      <c r="A835" s="23" t="s">
        <v>2026</v>
      </c>
      <c r="B835" s="23" t="s">
        <v>2</v>
      </c>
      <c r="C835" s="29"/>
      <c r="D835" s="29"/>
      <c r="E835" s="29"/>
      <c r="F835" s="29"/>
      <c r="G835" s="29"/>
    </row>
    <row r="836" spans="1:7" x14ac:dyDescent="0.25">
      <c r="A836" s="23" t="s">
        <v>2176</v>
      </c>
      <c r="B836" s="23" t="s">
        <v>2</v>
      </c>
      <c r="C836" s="29"/>
      <c r="D836" s="29"/>
      <c r="E836" s="29"/>
      <c r="F836" s="29"/>
      <c r="G836" s="29"/>
    </row>
    <row r="837" spans="1:7" x14ac:dyDescent="0.25">
      <c r="A837" s="23" t="s">
        <v>2570</v>
      </c>
      <c r="B837" s="23" t="s">
        <v>2</v>
      </c>
      <c r="C837" s="29"/>
      <c r="D837" s="29"/>
      <c r="E837" s="29"/>
      <c r="F837" s="29"/>
      <c r="G837" s="29"/>
    </row>
    <row r="838" spans="1:7" x14ac:dyDescent="0.25">
      <c r="A838" s="30" t="s">
        <v>2565</v>
      </c>
      <c r="B838" s="30" t="s">
        <v>2409</v>
      </c>
      <c r="C838" s="31">
        <v>1072.47</v>
      </c>
      <c r="D838" s="31">
        <v>849.51</v>
      </c>
      <c r="E838" s="31">
        <v>0</v>
      </c>
      <c r="F838" s="31">
        <v>0</v>
      </c>
      <c r="G838" s="29"/>
    </row>
    <row r="839" spans="1:7" x14ac:dyDescent="0.25">
      <c r="A839" s="23" t="s">
        <v>2564</v>
      </c>
      <c r="B839" s="23" t="s">
        <v>2</v>
      </c>
      <c r="C839" s="32">
        <v>1072.47</v>
      </c>
      <c r="D839" s="32">
        <v>849.51</v>
      </c>
      <c r="E839" s="32">
        <f>SUM(E838)</f>
        <v>0</v>
      </c>
      <c r="F839" s="32">
        <f>SUM(F838)</f>
        <v>0</v>
      </c>
      <c r="G839" s="29"/>
    </row>
    <row r="840" spans="1:7" x14ac:dyDescent="0.25">
      <c r="A840" s="23" t="s">
        <v>2</v>
      </c>
      <c r="B840" s="23" t="s">
        <v>2</v>
      </c>
      <c r="C840" s="23" t="s">
        <v>2</v>
      </c>
      <c r="D840" s="23" t="s">
        <v>2</v>
      </c>
      <c r="E840" s="23" t="s">
        <v>2</v>
      </c>
      <c r="F840" s="23" t="s">
        <v>2</v>
      </c>
      <c r="G840" s="29"/>
    </row>
    <row r="841" spans="1:7" x14ac:dyDescent="0.25">
      <c r="A841" s="23" t="s">
        <v>2179</v>
      </c>
      <c r="B841" s="23" t="s">
        <v>2</v>
      </c>
      <c r="C841" s="32">
        <v>1072.47</v>
      </c>
      <c r="D841" s="32">
        <v>849.51</v>
      </c>
      <c r="E841" s="32">
        <f>E839</f>
        <v>0</v>
      </c>
      <c r="F841" s="32">
        <f>F839</f>
        <v>0</v>
      </c>
      <c r="G841" s="29"/>
    </row>
    <row r="842" spans="1:7" x14ac:dyDescent="0.25">
      <c r="A842" s="23" t="s">
        <v>2</v>
      </c>
      <c r="B842" s="23" t="s">
        <v>2</v>
      </c>
      <c r="C842" s="23" t="s">
        <v>2</v>
      </c>
      <c r="D842" s="23" t="s">
        <v>2</v>
      </c>
      <c r="E842" s="23" t="s">
        <v>2</v>
      </c>
      <c r="F842" s="23" t="s">
        <v>2</v>
      </c>
      <c r="G842" s="29"/>
    </row>
    <row r="843" spans="1:7" x14ac:dyDescent="0.25">
      <c r="A843" s="23" t="s">
        <v>2553</v>
      </c>
      <c r="B843" s="23" t="s">
        <v>2</v>
      </c>
      <c r="C843" s="29"/>
      <c r="D843" s="29"/>
      <c r="E843" s="29"/>
      <c r="F843" s="29"/>
      <c r="G843" s="29"/>
    </row>
    <row r="844" spans="1:7" x14ac:dyDescent="0.25">
      <c r="A844" s="30" t="s">
        <v>2566</v>
      </c>
      <c r="B844" s="30" t="s">
        <v>2567</v>
      </c>
      <c r="C844" s="31">
        <v>100000</v>
      </c>
      <c r="D844" s="31">
        <v>0</v>
      </c>
      <c r="E844" s="31">
        <v>100000</v>
      </c>
      <c r="F844" s="31">
        <v>0</v>
      </c>
      <c r="G844" s="29"/>
    </row>
    <row r="845" spans="1:7" x14ac:dyDescent="0.25">
      <c r="A845" s="30" t="s">
        <v>2568</v>
      </c>
      <c r="B845" s="30" t="s">
        <v>2555</v>
      </c>
      <c r="C845" s="31">
        <v>570000</v>
      </c>
      <c r="D845" s="31">
        <v>0</v>
      </c>
      <c r="E845" s="31">
        <v>40000</v>
      </c>
      <c r="F845" s="31">
        <v>0</v>
      </c>
      <c r="G845" s="29"/>
    </row>
    <row r="846" spans="1:7" x14ac:dyDescent="0.25">
      <c r="A846" s="23" t="s">
        <v>2556</v>
      </c>
      <c r="B846" s="23" t="s">
        <v>2</v>
      </c>
      <c r="C846" s="32">
        <v>670000</v>
      </c>
      <c r="D846" s="32">
        <v>0</v>
      </c>
      <c r="E846" s="32">
        <f>SUM(E844:E845)</f>
        <v>140000</v>
      </c>
      <c r="F846" s="32">
        <f>SUM(F844:F845)</f>
        <v>0</v>
      </c>
      <c r="G846" s="29"/>
    </row>
    <row r="847" spans="1:7" x14ac:dyDescent="0.25">
      <c r="A847" s="23" t="s">
        <v>2</v>
      </c>
      <c r="B847" s="23" t="s">
        <v>2</v>
      </c>
      <c r="C847" s="23" t="s">
        <v>2</v>
      </c>
      <c r="D847" s="23" t="s">
        <v>2</v>
      </c>
      <c r="E847" s="23" t="s">
        <v>2</v>
      </c>
      <c r="F847" s="23" t="s">
        <v>2</v>
      </c>
      <c r="G847" s="29"/>
    </row>
    <row r="848" spans="1:7" x14ac:dyDescent="0.25">
      <c r="A848" s="23" t="s">
        <v>2047</v>
      </c>
      <c r="B848" s="23" t="s">
        <v>2</v>
      </c>
      <c r="C848" s="32">
        <v>671072.47</v>
      </c>
      <c r="D848" s="32">
        <v>849.51</v>
      </c>
      <c r="E848" s="32">
        <f>E841+E846</f>
        <v>140000</v>
      </c>
      <c r="F848" s="32">
        <f>F841+F846</f>
        <v>0</v>
      </c>
      <c r="G848" s="29"/>
    </row>
    <row r="849" spans="1:7" x14ac:dyDescent="0.25">
      <c r="A849" s="1" t="s">
        <v>740</v>
      </c>
      <c r="B849" s="1" t="s">
        <v>2</v>
      </c>
    </row>
    <row r="850" spans="1:7" x14ac:dyDescent="0.25">
      <c r="A850" s="2" t="s">
        <v>749</v>
      </c>
      <c r="B850" s="2" t="s">
        <v>750</v>
      </c>
      <c r="C850" s="3">
        <v>26730</v>
      </c>
      <c r="D850" s="3">
        <v>13365</v>
      </c>
      <c r="E850" s="3">
        <v>30000</v>
      </c>
      <c r="F850" s="5">
        <v>0</v>
      </c>
    </row>
    <row r="851" spans="1:7" ht="15" customHeight="1" x14ac:dyDescent="0.25">
      <c r="A851" s="2" t="s">
        <v>751</v>
      </c>
      <c r="B851" s="2" t="s">
        <v>752</v>
      </c>
      <c r="C851" s="3">
        <v>6254.73</v>
      </c>
      <c r="D851" s="3">
        <v>2443.1999999999998</v>
      </c>
      <c r="E851" s="3">
        <v>35000</v>
      </c>
      <c r="F851" s="5">
        <v>0</v>
      </c>
    </row>
    <row r="852" spans="1:7" ht="15" customHeight="1" x14ac:dyDescent="0.25">
      <c r="A852" s="2" t="s">
        <v>753</v>
      </c>
      <c r="B852" s="2" t="s">
        <v>754</v>
      </c>
      <c r="C852" s="3">
        <v>680</v>
      </c>
      <c r="D852" s="3">
        <v>3370</v>
      </c>
      <c r="E852" s="3">
        <v>5000</v>
      </c>
      <c r="F852" s="5">
        <v>0</v>
      </c>
    </row>
    <row r="853" spans="1:7" ht="15" customHeight="1" x14ac:dyDescent="0.25">
      <c r="A853" s="1" t="s">
        <v>755</v>
      </c>
      <c r="B853" s="1" t="s">
        <v>2</v>
      </c>
      <c r="C853" s="4">
        <v>33664.730000000003</v>
      </c>
      <c r="D853" s="4">
        <v>19178.2</v>
      </c>
      <c r="E853" s="6">
        <f>SUM(E850:E852)</f>
        <v>70000</v>
      </c>
      <c r="F853" s="6">
        <f>SUM(F850:F852)</f>
        <v>0</v>
      </c>
    </row>
    <row r="854" spans="1:7" ht="15" customHeight="1" x14ac:dyDescent="0.25">
      <c r="A854" s="25" t="s">
        <v>2571</v>
      </c>
      <c r="B854" s="25"/>
      <c r="C854" s="33">
        <f t="shared" ref="C854:D854" si="2">C833+C848-C853</f>
        <v>1626745.3</v>
      </c>
      <c r="D854" s="33">
        <f t="shared" si="2"/>
        <v>1608416.61</v>
      </c>
      <c r="E854" s="33">
        <f>E833+E848-E853</f>
        <v>1696745.3</v>
      </c>
      <c r="F854" s="33">
        <f>F833+F848-F853</f>
        <v>1696745.3</v>
      </c>
      <c r="G854" s="25"/>
    </row>
    <row r="855" spans="1:7" x14ac:dyDescent="0.25">
      <c r="A855" s="1" t="s">
        <v>2</v>
      </c>
      <c r="B855" s="1" t="s">
        <v>2</v>
      </c>
      <c r="C855" s="1" t="s">
        <v>2</v>
      </c>
      <c r="D855" s="36"/>
      <c r="E855" s="1" t="s">
        <v>2</v>
      </c>
      <c r="F855" s="1" t="s">
        <v>2</v>
      </c>
    </row>
    <row r="856" spans="1:7" x14ac:dyDescent="0.25">
      <c r="A856" s="27" t="s">
        <v>2572</v>
      </c>
      <c r="B856" s="27" t="s">
        <v>2</v>
      </c>
      <c r="C856" s="28">
        <v>2008236.58</v>
      </c>
      <c r="D856" s="28">
        <v>2856399.06</v>
      </c>
      <c r="E856" s="28">
        <v>2856399.06</v>
      </c>
      <c r="F856" s="28">
        <f>E897</f>
        <v>3018467.0600000005</v>
      </c>
      <c r="G856" s="27"/>
    </row>
    <row r="857" spans="1:7" x14ac:dyDescent="0.25">
      <c r="A857" s="23" t="s">
        <v>756</v>
      </c>
      <c r="B857" s="23" t="s">
        <v>2</v>
      </c>
      <c r="C857" s="29"/>
      <c r="D857" s="29"/>
      <c r="E857" s="29"/>
      <c r="F857" s="29"/>
      <c r="G857" s="37"/>
    </row>
    <row r="858" spans="1:7" x14ac:dyDescent="0.25">
      <c r="A858" s="23" t="s">
        <v>2026</v>
      </c>
      <c r="B858" s="23" t="s">
        <v>2</v>
      </c>
      <c r="C858" s="29"/>
      <c r="D858" s="29"/>
      <c r="E858" s="29"/>
      <c r="F858" s="29"/>
      <c r="G858" s="37"/>
    </row>
    <row r="859" spans="1:7" x14ac:dyDescent="0.25">
      <c r="A859" s="23" t="s">
        <v>2027</v>
      </c>
      <c r="B859" s="23" t="s">
        <v>2</v>
      </c>
      <c r="C859" s="29"/>
      <c r="D859" s="29"/>
      <c r="E859" s="29"/>
      <c r="F859" s="29"/>
      <c r="G859" s="37"/>
    </row>
    <row r="860" spans="1:7" x14ac:dyDescent="0.25">
      <c r="A860" s="23" t="s">
        <v>2573</v>
      </c>
      <c r="B860" s="23" t="s">
        <v>2</v>
      </c>
      <c r="C860" s="29"/>
      <c r="D860" s="29"/>
      <c r="E860" s="29"/>
      <c r="F860" s="29"/>
      <c r="G860" s="37"/>
    </row>
    <row r="861" spans="1:7" x14ac:dyDescent="0.25">
      <c r="A861" s="30" t="s">
        <v>2574</v>
      </c>
      <c r="B861" s="30" t="s">
        <v>2575</v>
      </c>
      <c r="C861" s="31">
        <v>67499.02</v>
      </c>
      <c r="D861" s="31">
        <v>90815.039999999994</v>
      </c>
      <c r="E861" s="31">
        <v>35000</v>
      </c>
      <c r="F861" s="31">
        <v>0</v>
      </c>
      <c r="G861" s="37"/>
    </row>
    <row r="862" spans="1:7" x14ac:dyDescent="0.25">
      <c r="A862" s="30" t="s">
        <v>2576</v>
      </c>
      <c r="B862" s="30" t="s">
        <v>2577</v>
      </c>
      <c r="C862" s="31">
        <v>2620588.41</v>
      </c>
      <c r="D862" s="31">
        <v>1214787.96</v>
      </c>
      <c r="E862" s="31">
        <v>2500000</v>
      </c>
      <c r="F862" s="31">
        <v>0</v>
      </c>
      <c r="G862" s="37"/>
    </row>
    <row r="863" spans="1:7" x14ac:dyDescent="0.25">
      <c r="A863" s="23" t="s">
        <v>2578</v>
      </c>
      <c r="B863" s="23" t="s">
        <v>2</v>
      </c>
      <c r="C863" s="32">
        <v>2688087.43</v>
      </c>
      <c r="D863" s="32">
        <v>1305603</v>
      </c>
      <c r="E863" s="32">
        <f>SUM(E861:E862)</f>
        <v>2535000</v>
      </c>
      <c r="F863" s="32">
        <f>SUM(F861:F862)</f>
        <v>0</v>
      </c>
      <c r="G863" s="37"/>
    </row>
    <row r="864" spans="1:7" x14ac:dyDescent="0.25">
      <c r="A864" s="23" t="s">
        <v>2</v>
      </c>
      <c r="B864" s="23" t="s">
        <v>2</v>
      </c>
      <c r="C864" s="23" t="s">
        <v>2</v>
      </c>
      <c r="D864" s="23" t="s">
        <v>2</v>
      </c>
      <c r="E864" s="23" t="s">
        <v>2</v>
      </c>
      <c r="F864" s="23" t="s">
        <v>2</v>
      </c>
      <c r="G864" s="37"/>
    </row>
    <row r="865" spans="1:7" x14ac:dyDescent="0.25">
      <c r="A865" s="23" t="s">
        <v>2175</v>
      </c>
      <c r="B865" s="23" t="s">
        <v>2</v>
      </c>
      <c r="C865" s="29"/>
      <c r="D865" s="29"/>
      <c r="E865" s="29"/>
      <c r="F865" s="29"/>
      <c r="G865" s="37"/>
    </row>
    <row r="866" spans="1:7" x14ac:dyDescent="0.25">
      <c r="A866" s="23" t="s">
        <v>2176</v>
      </c>
      <c r="B866" s="23" t="s">
        <v>2</v>
      </c>
      <c r="C866" s="29"/>
      <c r="D866" s="29"/>
      <c r="E866" s="29"/>
      <c r="F866" s="29"/>
      <c r="G866" s="37"/>
    </row>
    <row r="867" spans="1:7" x14ac:dyDescent="0.25">
      <c r="A867" s="23" t="s">
        <v>2564</v>
      </c>
      <c r="B867" s="23" t="s">
        <v>2</v>
      </c>
      <c r="C867" s="29"/>
      <c r="D867" s="29"/>
      <c r="E867" s="29"/>
      <c r="F867" s="29"/>
      <c r="G867" s="37"/>
    </row>
    <row r="868" spans="1:7" x14ac:dyDescent="0.25">
      <c r="A868" s="30" t="s">
        <v>2579</v>
      </c>
      <c r="B868" s="30" t="s">
        <v>2409</v>
      </c>
      <c r="C868" s="31">
        <v>0</v>
      </c>
      <c r="D868" s="31">
        <v>1150.08</v>
      </c>
      <c r="E868" s="31">
        <v>0</v>
      </c>
      <c r="F868" s="31">
        <v>0</v>
      </c>
      <c r="G868" s="37"/>
    </row>
    <row r="869" spans="1:7" x14ac:dyDescent="0.25">
      <c r="A869" s="23" t="s">
        <v>2580</v>
      </c>
      <c r="B869" s="23" t="s">
        <v>2</v>
      </c>
      <c r="C869" s="32">
        <v>0</v>
      </c>
      <c r="D869" s="32">
        <v>1150.08</v>
      </c>
      <c r="E869" s="32">
        <f>SUM(E868)</f>
        <v>0</v>
      </c>
      <c r="F869" s="32">
        <f>SUM(F868)</f>
        <v>0</v>
      </c>
      <c r="G869" s="37"/>
    </row>
    <row r="870" spans="1:7" x14ac:dyDescent="0.25">
      <c r="A870" s="23" t="s">
        <v>2</v>
      </c>
      <c r="B870" s="23" t="s">
        <v>2</v>
      </c>
      <c r="C870" s="23" t="s">
        <v>2</v>
      </c>
      <c r="D870" s="23" t="s">
        <v>2</v>
      </c>
      <c r="E870" s="23" t="s">
        <v>2</v>
      </c>
      <c r="F870" s="23" t="s">
        <v>2</v>
      </c>
      <c r="G870" s="37"/>
    </row>
    <row r="871" spans="1:7" x14ac:dyDescent="0.25">
      <c r="A871" s="23" t="s">
        <v>2581</v>
      </c>
      <c r="B871" s="23" t="s">
        <v>2</v>
      </c>
      <c r="C871" s="29"/>
      <c r="D871" s="29"/>
      <c r="E871" s="29"/>
      <c r="F871" s="29"/>
      <c r="G871" s="37"/>
    </row>
    <row r="872" spans="1:7" x14ac:dyDescent="0.25">
      <c r="A872" s="23" t="s">
        <v>2582</v>
      </c>
      <c r="B872" s="23" t="s">
        <v>2</v>
      </c>
      <c r="C872" s="29"/>
      <c r="D872" s="29"/>
      <c r="E872" s="29"/>
      <c r="F872" s="29"/>
      <c r="G872" s="37"/>
    </row>
    <row r="873" spans="1:7" x14ac:dyDescent="0.25">
      <c r="A873" s="30" t="s">
        <v>2583</v>
      </c>
      <c r="B873" s="30" t="s">
        <v>2584</v>
      </c>
      <c r="C873" s="31">
        <v>0</v>
      </c>
      <c r="D873" s="31">
        <v>0</v>
      </c>
      <c r="E873" s="31">
        <v>0</v>
      </c>
      <c r="F873" s="31">
        <v>0</v>
      </c>
      <c r="G873" s="37"/>
    </row>
    <row r="874" spans="1:7" x14ac:dyDescent="0.25">
      <c r="A874" s="23" t="s">
        <v>2585</v>
      </c>
      <c r="B874" s="23" t="s">
        <v>2</v>
      </c>
      <c r="C874" s="32">
        <v>0</v>
      </c>
      <c r="D874" s="32">
        <v>0</v>
      </c>
      <c r="E874" s="32">
        <f>SUM(E873)</f>
        <v>0</v>
      </c>
      <c r="F874" s="32">
        <f>SUM(F873)</f>
        <v>0</v>
      </c>
      <c r="G874" s="37"/>
    </row>
    <row r="875" spans="1:7" x14ac:dyDescent="0.25">
      <c r="A875" s="23" t="s">
        <v>2</v>
      </c>
      <c r="B875" s="23" t="s">
        <v>2</v>
      </c>
      <c r="C875" s="23" t="s">
        <v>2</v>
      </c>
      <c r="D875" s="23" t="s">
        <v>2</v>
      </c>
      <c r="E875" s="23" t="s">
        <v>2</v>
      </c>
      <c r="F875" s="23" t="s">
        <v>2</v>
      </c>
      <c r="G875" s="37"/>
    </row>
    <row r="876" spans="1:7" x14ac:dyDescent="0.25">
      <c r="A876" s="23" t="s">
        <v>2180</v>
      </c>
      <c r="B876" s="23" t="s">
        <v>2</v>
      </c>
      <c r="C876" s="32">
        <v>0</v>
      </c>
      <c r="D876" s="32">
        <v>1150.08</v>
      </c>
      <c r="E876" s="32">
        <f>E869+E874</f>
        <v>0</v>
      </c>
      <c r="F876" s="32">
        <f>F869+F874</f>
        <v>0</v>
      </c>
      <c r="G876" s="37"/>
    </row>
    <row r="877" spans="1:7" x14ac:dyDescent="0.25">
      <c r="A877" s="23" t="s">
        <v>2</v>
      </c>
      <c r="B877" s="23" t="s">
        <v>2</v>
      </c>
      <c r="C877" s="23" t="s">
        <v>2</v>
      </c>
      <c r="D877" s="23" t="s">
        <v>2</v>
      </c>
      <c r="E877" s="23" t="s">
        <v>2</v>
      </c>
      <c r="F877" s="23" t="s">
        <v>2</v>
      </c>
      <c r="G877" s="37"/>
    </row>
    <row r="878" spans="1:7" x14ac:dyDescent="0.25">
      <c r="A878" s="23" t="s">
        <v>2</v>
      </c>
      <c r="B878" s="23" t="s">
        <v>2</v>
      </c>
      <c r="C878" s="23" t="s">
        <v>2</v>
      </c>
      <c r="D878" s="23" t="s">
        <v>2</v>
      </c>
      <c r="E878" s="23" t="s">
        <v>2</v>
      </c>
      <c r="F878" s="23" t="s">
        <v>2</v>
      </c>
      <c r="G878" s="37"/>
    </row>
    <row r="879" spans="1:7" x14ac:dyDescent="0.25">
      <c r="A879" s="30" t="s">
        <v>2586</v>
      </c>
      <c r="B879" s="30" t="s">
        <v>2587</v>
      </c>
      <c r="C879" s="31">
        <v>0</v>
      </c>
      <c r="D879" s="31">
        <v>0</v>
      </c>
      <c r="E879" s="31">
        <v>0</v>
      </c>
      <c r="F879" s="31">
        <v>0</v>
      </c>
      <c r="G879" s="37"/>
    </row>
    <row r="880" spans="1:7" x14ac:dyDescent="0.25">
      <c r="A880" s="30" t="s">
        <v>2588</v>
      </c>
      <c r="B880" s="30" t="s">
        <v>2589</v>
      </c>
      <c r="C880" s="31">
        <v>0</v>
      </c>
      <c r="D880" s="31">
        <v>0</v>
      </c>
      <c r="E880" s="31">
        <v>0</v>
      </c>
      <c r="F880" s="31">
        <v>0</v>
      </c>
      <c r="G880" s="37"/>
    </row>
    <row r="881" spans="1:7" x14ac:dyDescent="0.25">
      <c r="A881" s="23" t="s">
        <v>2047</v>
      </c>
      <c r="B881" s="23" t="s">
        <v>2</v>
      </c>
      <c r="C881" s="32">
        <v>2688087.43</v>
      </c>
      <c r="D881" s="32">
        <v>1306753.08</v>
      </c>
      <c r="E881" s="32">
        <f>E863+E876+SUM(E879:E880)</f>
        <v>2535000</v>
      </c>
      <c r="F881" s="32">
        <f>F863+F876+SUM(F879:F880)</f>
        <v>0</v>
      </c>
      <c r="G881" s="37"/>
    </row>
    <row r="882" spans="1:7" x14ac:dyDescent="0.25">
      <c r="A882" s="1" t="s">
        <v>740</v>
      </c>
      <c r="B882" s="1" t="s">
        <v>2</v>
      </c>
      <c r="C882" s="1" t="s">
        <v>2</v>
      </c>
      <c r="D882" s="1" t="s">
        <v>2</v>
      </c>
      <c r="E882" s="1" t="s">
        <v>2</v>
      </c>
      <c r="F882" s="1" t="s">
        <v>2</v>
      </c>
    </row>
    <row r="883" spans="1:7" ht="15" customHeight="1" x14ac:dyDescent="0.25">
      <c r="A883" s="2" t="s">
        <v>757</v>
      </c>
      <c r="B883" s="2" t="s">
        <v>742</v>
      </c>
      <c r="C883" s="3">
        <v>0</v>
      </c>
      <c r="D883" s="3">
        <v>0</v>
      </c>
      <c r="E883" s="3">
        <v>0</v>
      </c>
      <c r="F883" s="5">
        <v>0</v>
      </c>
    </row>
    <row r="884" spans="1:7" ht="15" customHeight="1" x14ac:dyDescent="0.25">
      <c r="A884" s="2" t="s">
        <v>758</v>
      </c>
      <c r="B884" s="2" t="s">
        <v>759</v>
      </c>
      <c r="C884" s="3">
        <v>100000</v>
      </c>
      <c r="D884" s="3">
        <v>0</v>
      </c>
      <c r="E884" s="3">
        <v>100000</v>
      </c>
      <c r="F884" s="5">
        <v>0</v>
      </c>
    </row>
    <row r="885" spans="1:7" ht="15" customHeight="1" x14ac:dyDescent="0.25">
      <c r="A885" s="2" t="s">
        <v>760</v>
      </c>
      <c r="B885" s="2" t="s">
        <v>761</v>
      </c>
      <c r="C885" s="3">
        <v>0</v>
      </c>
      <c r="D885" s="3">
        <v>0</v>
      </c>
      <c r="E885" s="3">
        <v>20000</v>
      </c>
      <c r="F885" s="5">
        <v>0</v>
      </c>
    </row>
    <row r="886" spans="1:7" ht="15" customHeight="1" x14ac:dyDescent="0.25">
      <c r="A886" s="2" t="s">
        <v>762</v>
      </c>
      <c r="B886" s="2" t="s">
        <v>763</v>
      </c>
      <c r="C886" s="3">
        <v>770000</v>
      </c>
      <c r="D886" s="3">
        <v>187000</v>
      </c>
      <c r="E886" s="3">
        <v>1275000</v>
      </c>
      <c r="F886" s="5">
        <v>0</v>
      </c>
    </row>
    <row r="887" spans="1:7" ht="15" customHeight="1" x14ac:dyDescent="0.25">
      <c r="A887" s="2" t="s">
        <v>764</v>
      </c>
      <c r="B887" s="2" t="s">
        <v>765</v>
      </c>
      <c r="C887" s="3">
        <v>45312.5</v>
      </c>
      <c r="D887" s="3">
        <v>0</v>
      </c>
      <c r="E887" s="3">
        <v>49425</v>
      </c>
      <c r="F887" s="5">
        <v>0</v>
      </c>
    </row>
    <row r="888" spans="1:7" ht="15" customHeight="1" x14ac:dyDescent="0.25">
      <c r="A888" s="2" t="s">
        <v>766</v>
      </c>
      <c r="B888" s="2" t="s">
        <v>767</v>
      </c>
      <c r="C888" s="3">
        <v>77066.22</v>
      </c>
      <c r="D888" s="3">
        <v>0</v>
      </c>
      <c r="E888" s="3">
        <v>0</v>
      </c>
      <c r="F888" s="5">
        <v>0</v>
      </c>
    </row>
    <row r="889" spans="1:7" x14ac:dyDescent="0.25">
      <c r="A889" s="2" t="s">
        <v>768</v>
      </c>
      <c r="B889" s="2" t="s">
        <v>769</v>
      </c>
      <c r="C889" s="3">
        <v>190492.79999999999</v>
      </c>
      <c r="D889" s="3">
        <v>0</v>
      </c>
      <c r="E889" s="3">
        <v>201732</v>
      </c>
      <c r="F889" s="5">
        <v>0</v>
      </c>
    </row>
    <row r="890" spans="1:7" x14ac:dyDescent="0.25">
      <c r="A890" s="2" t="s">
        <v>770</v>
      </c>
      <c r="B890" s="2" t="s">
        <v>771</v>
      </c>
      <c r="C890" s="3">
        <v>79400</v>
      </c>
      <c r="D890" s="3">
        <v>0</v>
      </c>
      <c r="E890" s="3">
        <v>81800</v>
      </c>
      <c r="F890" s="5">
        <v>0</v>
      </c>
    </row>
    <row r="891" spans="1:7" x14ac:dyDescent="0.25">
      <c r="A891" s="2" t="s">
        <v>772</v>
      </c>
      <c r="B891" s="2" t="s">
        <v>773</v>
      </c>
      <c r="C891" s="3">
        <v>57369</v>
      </c>
      <c r="D891" s="3">
        <v>0</v>
      </c>
      <c r="E891" s="3">
        <v>56195</v>
      </c>
      <c r="F891" s="5">
        <v>0</v>
      </c>
    </row>
    <row r="892" spans="1:7" x14ac:dyDescent="0.25">
      <c r="A892" s="2" t="s">
        <v>774</v>
      </c>
      <c r="B892" s="2" t="s">
        <v>775</v>
      </c>
      <c r="C892" s="3">
        <v>0</v>
      </c>
      <c r="D892" s="3">
        <v>0</v>
      </c>
      <c r="E892" s="3">
        <v>23000</v>
      </c>
      <c r="F892" s="5">
        <v>0</v>
      </c>
    </row>
    <row r="893" spans="1:7" x14ac:dyDescent="0.25">
      <c r="A893" s="2" t="s">
        <v>776</v>
      </c>
      <c r="B893" s="2" t="s">
        <v>777</v>
      </c>
      <c r="C893" s="3">
        <v>20284.43</v>
      </c>
      <c r="D893" s="3">
        <v>0</v>
      </c>
      <c r="E893" s="3">
        <v>15780</v>
      </c>
      <c r="F893" s="5">
        <v>0</v>
      </c>
    </row>
    <row r="894" spans="1:7" x14ac:dyDescent="0.25">
      <c r="A894" s="2" t="s">
        <v>778</v>
      </c>
      <c r="B894" s="2" t="s">
        <v>779</v>
      </c>
      <c r="C894" s="3">
        <v>500000</v>
      </c>
      <c r="D894" s="3">
        <v>0</v>
      </c>
      <c r="E894" s="3">
        <v>500000</v>
      </c>
      <c r="F894" s="5">
        <v>0</v>
      </c>
    </row>
    <row r="895" spans="1:7" ht="15" customHeight="1" x14ac:dyDescent="0.25">
      <c r="A895" s="2" t="s">
        <v>780</v>
      </c>
      <c r="B895" s="2" t="s">
        <v>781</v>
      </c>
      <c r="C895" s="3">
        <v>0</v>
      </c>
      <c r="D895" s="3">
        <v>0</v>
      </c>
      <c r="E895" s="3">
        <v>50000</v>
      </c>
      <c r="F895" s="5">
        <v>0</v>
      </c>
    </row>
    <row r="896" spans="1:7" ht="15" customHeight="1" x14ac:dyDescent="0.25">
      <c r="A896" s="1" t="s">
        <v>782</v>
      </c>
      <c r="B896" s="1" t="s">
        <v>2</v>
      </c>
      <c r="C896" s="4">
        <v>1839924.95</v>
      </c>
      <c r="D896" s="4">
        <v>187000</v>
      </c>
      <c r="E896" s="4">
        <v>2372932</v>
      </c>
      <c r="F896" s="6">
        <v>0</v>
      </c>
    </row>
    <row r="897" spans="1:7" ht="15" customHeight="1" x14ac:dyDescent="0.25">
      <c r="A897" s="25" t="s">
        <v>2590</v>
      </c>
      <c r="B897" s="25"/>
      <c r="C897" s="33">
        <f>C856+C881-C896</f>
        <v>2856399.0599999996</v>
      </c>
      <c r="D897" s="33">
        <f t="shared" ref="D897:F897" si="3">D856+D881-D896</f>
        <v>3976152.14</v>
      </c>
      <c r="E897" s="33">
        <f t="shared" si="3"/>
        <v>3018467.0600000005</v>
      </c>
      <c r="F897" s="33">
        <f t="shared" si="3"/>
        <v>3018467.0600000005</v>
      </c>
      <c r="G897" s="38"/>
    </row>
    <row r="898" spans="1:7" x14ac:dyDescent="0.25">
      <c r="A898" s="1" t="s">
        <v>2</v>
      </c>
      <c r="B898" s="1" t="s">
        <v>2</v>
      </c>
      <c r="C898" s="1" t="s">
        <v>2</v>
      </c>
      <c r="D898" s="1" t="s">
        <v>2</v>
      </c>
      <c r="E898" s="1" t="s">
        <v>2</v>
      </c>
      <c r="F898" s="1" t="s">
        <v>2</v>
      </c>
    </row>
    <row r="899" spans="1:7" ht="15" customHeight="1" x14ac:dyDescent="0.25">
      <c r="A899" s="27" t="s">
        <v>2591</v>
      </c>
      <c r="B899" s="27" t="s">
        <v>2</v>
      </c>
      <c r="C899" s="28">
        <v>29464.76</v>
      </c>
      <c r="D899" s="28">
        <v>28172.7</v>
      </c>
      <c r="E899" s="28">
        <v>28172.7</v>
      </c>
      <c r="F899" s="28">
        <f>E927</f>
        <v>17250.199999999997</v>
      </c>
      <c r="G899" s="27"/>
    </row>
    <row r="900" spans="1:7" x14ac:dyDescent="0.25">
      <c r="A900" s="23" t="s">
        <v>783</v>
      </c>
      <c r="B900" s="23" t="s">
        <v>2</v>
      </c>
      <c r="C900" s="29"/>
      <c r="D900" s="29"/>
      <c r="E900" s="29"/>
      <c r="F900" s="29"/>
      <c r="G900" s="29"/>
    </row>
    <row r="901" spans="1:7" x14ac:dyDescent="0.25">
      <c r="A901" s="23" t="s">
        <v>2026</v>
      </c>
      <c r="B901" s="23"/>
      <c r="C901" s="29"/>
      <c r="D901" s="29"/>
      <c r="E901" s="29"/>
      <c r="F901" s="29"/>
      <c r="G901" s="29"/>
    </row>
    <row r="902" spans="1:7" x14ac:dyDescent="0.25">
      <c r="A902" s="30" t="s">
        <v>2592</v>
      </c>
      <c r="B902" s="30" t="s">
        <v>2593</v>
      </c>
      <c r="C902" s="31">
        <v>20745.09</v>
      </c>
      <c r="D902" s="31">
        <v>19090</v>
      </c>
      <c r="E902" s="31">
        <v>2500</v>
      </c>
      <c r="F902" s="31">
        <v>0</v>
      </c>
      <c r="G902" s="29"/>
    </row>
    <row r="903" spans="1:7" x14ac:dyDescent="0.25">
      <c r="A903" s="30" t="s">
        <v>2594</v>
      </c>
      <c r="B903" s="30" t="s">
        <v>2595</v>
      </c>
      <c r="C903" s="31">
        <v>0</v>
      </c>
      <c r="D903" s="31">
        <v>0</v>
      </c>
      <c r="E903" s="31">
        <v>0</v>
      </c>
      <c r="F903" s="31">
        <v>0</v>
      </c>
      <c r="G903" s="29"/>
    </row>
    <row r="904" spans="1:7" x14ac:dyDescent="0.25">
      <c r="A904" s="30" t="s">
        <v>2596</v>
      </c>
      <c r="B904" s="30" t="s">
        <v>2597</v>
      </c>
      <c r="C904" s="31">
        <v>0</v>
      </c>
      <c r="D904" s="31">
        <v>0</v>
      </c>
      <c r="E904" s="31">
        <v>0</v>
      </c>
      <c r="F904" s="31">
        <v>0</v>
      </c>
      <c r="G904" s="29"/>
    </row>
    <row r="905" spans="1:7" x14ac:dyDescent="0.25">
      <c r="A905" s="30" t="s">
        <v>2598</v>
      </c>
      <c r="B905" s="30" t="s">
        <v>2599</v>
      </c>
      <c r="C905" s="31">
        <v>0</v>
      </c>
      <c r="D905" s="31">
        <v>0</v>
      </c>
      <c r="E905" s="31">
        <v>0</v>
      </c>
      <c r="F905" s="31">
        <v>0</v>
      </c>
      <c r="G905" s="29"/>
    </row>
    <row r="906" spans="1:7" x14ac:dyDescent="0.25">
      <c r="A906" s="30" t="s">
        <v>2600</v>
      </c>
      <c r="B906" s="30" t="s">
        <v>2601</v>
      </c>
      <c r="C906" s="31">
        <v>0</v>
      </c>
      <c r="D906" s="31">
        <v>0</v>
      </c>
      <c r="E906" s="31">
        <v>23000</v>
      </c>
      <c r="F906" s="31">
        <v>0</v>
      </c>
      <c r="G906" s="29"/>
    </row>
    <row r="907" spans="1:7" x14ac:dyDescent="0.25">
      <c r="A907" s="30" t="s">
        <v>2602</v>
      </c>
      <c r="B907" s="30" t="s">
        <v>2603</v>
      </c>
      <c r="C907" s="31">
        <v>0</v>
      </c>
      <c r="D907" s="31">
        <v>0</v>
      </c>
      <c r="E907" s="31">
        <v>0</v>
      </c>
      <c r="F907" s="31">
        <v>0</v>
      </c>
      <c r="G907" s="29"/>
    </row>
    <row r="908" spans="1:7" x14ac:dyDescent="0.25">
      <c r="A908" s="30" t="s">
        <v>2604</v>
      </c>
      <c r="B908" s="30" t="s">
        <v>2539</v>
      </c>
      <c r="C908" s="31">
        <v>9517.41</v>
      </c>
      <c r="D908" s="31">
        <v>5400</v>
      </c>
      <c r="E908" s="31">
        <v>10000</v>
      </c>
      <c r="F908" s="31">
        <v>0</v>
      </c>
      <c r="G908" s="29"/>
    </row>
    <row r="909" spans="1:7" x14ac:dyDescent="0.25">
      <c r="A909" s="23" t="s">
        <v>804</v>
      </c>
      <c r="B909" s="23" t="s">
        <v>2</v>
      </c>
      <c r="C909" s="32">
        <v>30262.5</v>
      </c>
      <c r="D909" s="32">
        <v>24490</v>
      </c>
      <c r="E909" s="32">
        <f>SUM(E902:E908)</f>
        <v>35500</v>
      </c>
      <c r="F909" s="32">
        <f>SUM(F902:F908)</f>
        <v>0</v>
      </c>
      <c r="G909" s="29"/>
    </row>
    <row r="910" spans="1:7" ht="15" customHeight="1" x14ac:dyDescent="0.25">
      <c r="A910" s="1" t="s">
        <v>740</v>
      </c>
      <c r="B910" s="1" t="s">
        <v>2</v>
      </c>
    </row>
    <row r="911" spans="1:7" ht="15" customHeight="1" x14ac:dyDescent="0.25">
      <c r="A911" s="2" t="s">
        <v>784</v>
      </c>
      <c r="B911" s="2" t="s">
        <v>108</v>
      </c>
      <c r="C911" s="3">
        <v>3850.44</v>
      </c>
      <c r="D911" s="3">
        <v>2148.44</v>
      </c>
      <c r="E911" s="3">
        <v>1007.63</v>
      </c>
      <c r="F911" s="5">
        <v>0</v>
      </c>
    </row>
    <row r="912" spans="1:7" ht="15" customHeight="1" x14ac:dyDescent="0.25">
      <c r="A912" s="2" t="s">
        <v>785</v>
      </c>
      <c r="B912" s="2" t="s">
        <v>786</v>
      </c>
      <c r="C912" s="3">
        <v>0</v>
      </c>
      <c r="D912" s="3">
        <v>0</v>
      </c>
      <c r="E912" s="3">
        <v>0</v>
      </c>
      <c r="F912" s="5">
        <v>0</v>
      </c>
    </row>
    <row r="913" spans="1:7" ht="15" customHeight="1" x14ac:dyDescent="0.25">
      <c r="A913" s="2" t="s">
        <v>787</v>
      </c>
      <c r="B913" s="2" t="s">
        <v>29</v>
      </c>
      <c r="C913" s="3">
        <v>713.36</v>
      </c>
      <c r="D913" s="3">
        <v>452.07</v>
      </c>
      <c r="E913" s="3">
        <v>197.1</v>
      </c>
      <c r="F913" s="5">
        <v>0</v>
      </c>
    </row>
    <row r="914" spans="1:7" ht="15" customHeight="1" x14ac:dyDescent="0.25">
      <c r="A914" s="2" t="s">
        <v>788</v>
      </c>
      <c r="B914" s="2" t="s">
        <v>31</v>
      </c>
      <c r="C914" s="3">
        <v>82.78</v>
      </c>
      <c r="D914" s="3">
        <v>30.31</v>
      </c>
      <c r="E914" s="3">
        <v>19.73</v>
      </c>
      <c r="F914" s="5">
        <v>0</v>
      </c>
    </row>
    <row r="915" spans="1:7" ht="15" customHeight="1" x14ac:dyDescent="0.25">
      <c r="A915" s="2" t="s">
        <v>789</v>
      </c>
      <c r="B915" s="2" t="s">
        <v>790</v>
      </c>
      <c r="C915" s="3">
        <v>518.70000000000005</v>
      </c>
      <c r="D915" s="3">
        <v>260</v>
      </c>
      <c r="E915" s="3">
        <v>119.48</v>
      </c>
      <c r="F915" s="5">
        <v>0</v>
      </c>
    </row>
    <row r="916" spans="1:7" ht="15" customHeight="1" x14ac:dyDescent="0.25">
      <c r="A916" s="2" t="s">
        <v>791</v>
      </c>
      <c r="B916" s="2" t="s">
        <v>792</v>
      </c>
      <c r="C916" s="3">
        <v>292.37</v>
      </c>
      <c r="D916" s="3">
        <v>163.52000000000001</v>
      </c>
      <c r="E916" s="3">
        <v>77.08</v>
      </c>
      <c r="F916" s="5">
        <v>0</v>
      </c>
    </row>
    <row r="917" spans="1:7" ht="15" customHeight="1" x14ac:dyDescent="0.25">
      <c r="A917" s="2" t="s">
        <v>793</v>
      </c>
      <c r="B917" s="2" t="s">
        <v>543</v>
      </c>
      <c r="C917" s="3">
        <v>0</v>
      </c>
      <c r="D917" s="3">
        <v>0</v>
      </c>
      <c r="E917" s="3">
        <v>0</v>
      </c>
      <c r="F917" s="5">
        <v>0</v>
      </c>
    </row>
    <row r="918" spans="1:7" ht="15" customHeight="1" x14ac:dyDescent="0.25">
      <c r="A918" s="2" t="s">
        <v>794</v>
      </c>
      <c r="B918" s="2" t="s">
        <v>13</v>
      </c>
      <c r="C918" s="3">
        <v>5.58</v>
      </c>
      <c r="D918" s="3">
        <v>4.7300000000000004</v>
      </c>
      <c r="E918" s="3">
        <v>1.48</v>
      </c>
      <c r="F918" s="5">
        <v>0</v>
      </c>
    </row>
    <row r="919" spans="1:7" ht="15" customHeight="1" x14ac:dyDescent="0.25">
      <c r="A919" s="2" t="s">
        <v>795</v>
      </c>
      <c r="B919" s="2" t="s">
        <v>577</v>
      </c>
      <c r="C919" s="3">
        <v>0</v>
      </c>
      <c r="D919" s="3">
        <v>0</v>
      </c>
      <c r="E919" s="3">
        <v>0</v>
      </c>
      <c r="F919" s="5">
        <v>0</v>
      </c>
    </row>
    <row r="920" spans="1:7" ht="15" customHeight="1" x14ac:dyDescent="0.25">
      <c r="A920" s="2" t="s">
        <v>796</v>
      </c>
      <c r="B920" s="2" t="s">
        <v>579</v>
      </c>
      <c r="C920" s="3">
        <v>0</v>
      </c>
      <c r="D920" s="3">
        <v>0</v>
      </c>
      <c r="E920" s="3">
        <v>0</v>
      </c>
      <c r="F920" s="5">
        <v>0</v>
      </c>
    </row>
    <row r="921" spans="1:7" ht="15" customHeight="1" x14ac:dyDescent="0.25">
      <c r="A921" s="2" t="s">
        <v>797</v>
      </c>
      <c r="B921" s="2" t="s">
        <v>581</v>
      </c>
      <c r="C921" s="3">
        <v>0</v>
      </c>
      <c r="D921" s="3">
        <v>0</v>
      </c>
      <c r="E921" s="3">
        <v>0</v>
      </c>
      <c r="F921" s="5">
        <v>0</v>
      </c>
    </row>
    <row r="922" spans="1:7" ht="15" customHeight="1" x14ac:dyDescent="0.25">
      <c r="A922" s="2" t="s">
        <v>798</v>
      </c>
      <c r="B922" s="2" t="s">
        <v>799</v>
      </c>
      <c r="C922" s="3">
        <v>9272.4699999999993</v>
      </c>
      <c r="D922" s="3">
        <v>4141</v>
      </c>
      <c r="E922" s="3">
        <v>20000</v>
      </c>
      <c r="F922" s="5">
        <v>0</v>
      </c>
    </row>
    <row r="923" spans="1:7" ht="15" customHeight="1" x14ac:dyDescent="0.25">
      <c r="A923" s="2" t="s">
        <v>800</v>
      </c>
      <c r="B923" s="2" t="s">
        <v>64</v>
      </c>
      <c r="C923" s="3">
        <v>12871.45</v>
      </c>
      <c r="D923" s="3">
        <v>5226.5</v>
      </c>
      <c r="E923" s="3">
        <v>15000</v>
      </c>
      <c r="F923" s="5">
        <v>0</v>
      </c>
    </row>
    <row r="924" spans="1:7" ht="15" customHeight="1" x14ac:dyDescent="0.25">
      <c r="A924" s="2" t="s">
        <v>801</v>
      </c>
      <c r="B924" s="2" t="s">
        <v>802</v>
      </c>
      <c r="C924" s="3">
        <v>0</v>
      </c>
      <c r="D924" s="3">
        <v>0</v>
      </c>
      <c r="E924" s="3">
        <v>0</v>
      </c>
      <c r="F924" s="5">
        <v>0</v>
      </c>
    </row>
    <row r="925" spans="1:7" ht="15" customHeight="1" x14ac:dyDescent="0.25">
      <c r="A925" s="2" t="s">
        <v>803</v>
      </c>
      <c r="B925" s="2" t="s">
        <v>700</v>
      </c>
      <c r="C925" s="3">
        <v>3947.41</v>
      </c>
      <c r="D925" s="3">
        <v>1400</v>
      </c>
      <c r="E925" s="3">
        <v>10000</v>
      </c>
      <c r="F925" s="5">
        <v>0</v>
      </c>
    </row>
    <row r="926" spans="1:7" ht="15" customHeight="1" x14ac:dyDescent="0.25">
      <c r="A926" s="1" t="s">
        <v>804</v>
      </c>
      <c r="B926" s="1" t="s">
        <v>2</v>
      </c>
      <c r="C926" s="4">
        <v>31554.560000000001</v>
      </c>
      <c r="D926" s="4">
        <v>13826.57</v>
      </c>
      <c r="E926" s="6">
        <f>SUM(E911:E925)</f>
        <v>46422.5</v>
      </c>
      <c r="F926" s="6">
        <f>SUM(F911:F925)</f>
        <v>0</v>
      </c>
    </row>
    <row r="927" spans="1:7" x14ac:dyDescent="0.25">
      <c r="A927" s="25" t="s">
        <v>2605</v>
      </c>
      <c r="B927" s="25"/>
      <c r="C927" s="33">
        <f>C899+C909-C926</f>
        <v>28172.699999999993</v>
      </c>
      <c r="D927" s="33">
        <f t="shared" ref="D927:F927" si="4">D899+D909-D926</f>
        <v>38836.129999999997</v>
      </c>
      <c r="E927" s="33">
        <f t="shared" si="4"/>
        <v>17250.199999999997</v>
      </c>
      <c r="F927" s="33">
        <f t="shared" si="4"/>
        <v>17250.199999999997</v>
      </c>
      <c r="G927" s="25"/>
    </row>
    <row r="928" spans="1:7" x14ac:dyDescent="0.25">
      <c r="A928" s="1" t="s">
        <v>2</v>
      </c>
      <c r="B928" s="1" t="s">
        <v>2</v>
      </c>
      <c r="C928" s="36"/>
      <c r="D928" s="1" t="s">
        <v>2</v>
      </c>
      <c r="E928" s="1" t="s">
        <v>2</v>
      </c>
      <c r="F928" s="1" t="s">
        <v>2</v>
      </c>
    </row>
    <row r="929" spans="1:7" ht="15" customHeight="1" x14ac:dyDescent="0.25">
      <c r="A929" s="27" t="s">
        <v>2606</v>
      </c>
      <c r="B929" s="27"/>
      <c r="C929" s="28">
        <v>290974.3</v>
      </c>
      <c r="D929" s="28">
        <v>132611.59</v>
      </c>
      <c r="E929" s="28">
        <v>132611.59</v>
      </c>
      <c r="F929" s="28">
        <f>E1188</f>
        <v>72478.580000000075</v>
      </c>
      <c r="G929" s="27"/>
    </row>
    <row r="930" spans="1:7" x14ac:dyDescent="0.25">
      <c r="A930" s="23" t="s">
        <v>805</v>
      </c>
      <c r="B930" s="23" t="s">
        <v>2</v>
      </c>
      <c r="C930" s="29"/>
      <c r="D930" s="29"/>
      <c r="E930" s="29"/>
      <c r="F930" s="29"/>
      <c r="G930" s="29"/>
    </row>
    <row r="931" spans="1:7" x14ac:dyDescent="0.25">
      <c r="A931" s="23" t="s">
        <v>2026</v>
      </c>
      <c r="B931" s="23" t="s">
        <v>2</v>
      </c>
      <c r="C931" s="29"/>
      <c r="D931" s="29"/>
      <c r="E931" s="29"/>
      <c r="F931" s="29"/>
      <c r="G931" s="29"/>
    </row>
    <row r="932" spans="1:7" x14ac:dyDescent="0.25">
      <c r="A932" s="23" t="s">
        <v>2102</v>
      </c>
      <c r="B932" s="23" t="s">
        <v>2</v>
      </c>
      <c r="C932" s="29"/>
      <c r="D932" s="29"/>
      <c r="E932" s="29"/>
      <c r="F932" s="29"/>
      <c r="G932" s="29"/>
    </row>
    <row r="933" spans="1:7" x14ac:dyDescent="0.25">
      <c r="A933" s="23" t="s">
        <v>2111</v>
      </c>
      <c r="B933" s="23" t="s">
        <v>2</v>
      </c>
      <c r="C933" s="29"/>
      <c r="D933" s="29"/>
      <c r="E933" s="29"/>
      <c r="F933" s="29"/>
      <c r="G933" s="29"/>
    </row>
    <row r="934" spans="1:7" x14ac:dyDescent="0.25">
      <c r="A934" s="30" t="s">
        <v>2607</v>
      </c>
      <c r="B934" s="30" t="s">
        <v>2608</v>
      </c>
      <c r="C934" s="31">
        <v>0</v>
      </c>
      <c r="D934" s="31">
        <v>0</v>
      </c>
      <c r="E934" s="31">
        <v>0</v>
      </c>
      <c r="F934" s="31">
        <v>0</v>
      </c>
      <c r="G934" s="29"/>
    </row>
    <row r="935" spans="1:7" x14ac:dyDescent="0.25">
      <c r="A935" s="30" t="s">
        <v>2613</v>
      </c>
      <c r="B935" s="30" t="s">
        <v>2123</v>
      </c>
      <c r="C935" s="31">
        <v>1262.51</v>
      </c>
      <c r="D935" s="31">
        <v>0</v>
      </c>
      <c r="E935" s="31">
        <v>0</v>
      </c>
      <c r="F935" s="31">
        <v>0</v>
      </c>
      <c r="G935" s="29"/>
    </row>
    <row r="936" spans="1:7" x14ac:dyDescent="0.25">
      <c r="A936" s="23" t="s">
        <v>2126</v>
      </c>
      <c r="B936" s="23" t="s">
        <v>2</v>
      </c>
      <c r="C936" s="32">
        <v>1262.51</v>
      </c>
      <c r="D936" s="32">
        <v>0</v>
      </c>
      <c r="E936" s="32">
        <f>SUM(E934:E935)</f>
        <v>0</v>
      </c>
      <c r="F936" s="32">
        <f>SUM(F934:F935)</f>
        <v>0</v>
      </c>
      <c r="G936" s="29"/>
    </row>
    <row r="937" spans="1:7" x14ac:dyDescent="0.25">
      <c r="A937" s="30"/>
      <c r="B937" s="30"/>
      <c r="C937" s="31"/>
      <c r="D937" s="31"/>
      <c r="E937" s="31"/>
      <c r="F937" s="31"/>
      <c r="G937" s="29"/>
    </row>
    <row r="938" spans="1:7" x14ac:dyDescent="0.25">
      <c r="A938" s="23" t="s">
        <v>2609</v>
      </c>
      <c r="B938" s="23" t="s">
        <v>2</v>
      </c>
      <c r="C938" s="29"/>
      <c r="D938" s="29"/>
      <c r="E938" s="29"/>
      <c r="F938" s="29"/>
      <c r="G938" s="29"/>
    </row>
    <row r="939" spans="1:7" x14ac:dyDescent="0.25">
      <c r="A939" s="30" t="s">
        <v>2610</v>
      </c>
      <c r="B939" s="30" t="s">
        <v>2611</v>
      </c>
      <c r="C939" s="31">
        <v>0</v>
      </c>
      <c r="D939" s="31">
        <v>0</v>
      </c>
      <c r="E939" s="31">
        <v>1095000</v>
      </c>
      <c r="F939" s="31">
        <v>0</v>
      </c>
      <c r="G939" s="29"/>
    </row>
    <row r="940" spans="1:7" x14ac:dyDescent="0.25">
      <c r="A940" s="23" t="s">
        <v>2612</v>
      </c>
      <c r="B940" s="23" t="s">
        <v>2</v>
      </c>
      <c r="C940" s="32">
        <v>0</v>
      </c>
      <c r="D940" s="32">
        <v>0</v>
      </c>
      <c r="E940" s="32">
        <f>SUM(E939)</f>
        <v>1095000</v>
      </c>
      <c r="F940" s="32">
        <f>SUM(F939)</f>
        <v>0</v>
      </c>
      <c r="G940" s="29"/>
    </row>
    <row r="941" spans="1:7" x14ac:dyDescent="0.25">
      <c r="A941" s="23" t="s">
        <v>2</v>
      </c>
      <c r="B941" s="23" t="s">
        <v>2</v>
      </c>
      <c r="C941" s="23" t="s">
        <v>2</v>
      </c>
      <c r="D941" s="23" t="s">
        <v>2</v>
      </c>
      <c r="E941" s="23" t="s">
        <v>2</v>
      </c>
      <c r="F941" s="23" t="s">
        <v>2</v>
      </c>
      <c r="G941" s="29"/>
    </row>
    <row r="942" spans="1:7" x14ac:dyDescent="0.25">
      <c r="A942" s="23" t="s">
        <v>2127</v>
      </c>
      <c r="B942" s="23" t="s">
        <v>2</v>
      </c>
      <c r="C942" s="29"/>
      <c r="D942" s="29"/>
      <c r="E942" s="29"/>
      <c r="F942" s="29"/>
      <c r="G942" s="29"/>
    </row>
    <row r="943" spans="1:7" x14ac:dyDescent="0.25">
      <c r="A943" s="30" t="s">
        <v>2614</v>
      </c>
      <c r="B943" s="30" t="s">
        <v>2615</v>
      </c>
      <c r="C943" s="31">
        <v>0</v>
      </c>
      <c r="D943" s="31">
        <v>0</v>
      </c>
      <c r="E943" s="31">
        <v>0</v>
      </c>
      <c r="F943" s="31">
        <v>0</v>
      </c>
      <c r="G943" s="29"/>
    </row>
    <row r="944" spans="1:7" ht="24" x14ac:dyDescent="0.25">
      <c r="A944" s="30" t="s">
        <v>2616</v>
      </c>
      <c r="B944" s="30" t="s">
        <v>2617</v>
      </c>
      <c r="C944" s="31">
        <v>0</v>
      </c>
      <c r="D944" s="31">
        <v>0</v>
      </c>
      <c r="E944" s="31">
        <v>0</v>
      </c>
      <c r="F944" s="31">
        <v>0</v>
      </c>
      <c r="G944" s="29"/>
    </row>
    <row r="945" spans="1:7" x14ac:dyDescent="0.25">
      <c r="A945" s="30" t="s">
        <v>2618</v>
      </c>
      <c r="B945" s="30" t="s">
        <v>2619</v>
      </c>
      <c r="C945" s="31">
        <v>0</v>
      </c>
      <c r="D945" s="31">
        <v>0</v>
      </c>
      <c r="E945" s="31">
        <v>0</v>
      </c>
      <c r="F945" s="31">
        <v>0</v>
      </c>
      <c r="G945" s="29"/>
    </row>
    <row r="946" spans="1:7" x14ac:dyDescent="0.25">
      <c r="A946" s="30" t="s">
        <v>2620</v>
      </c>
      <c r="B946" s="30" t="s">
        <v>2621</v>
      </c>
      <c r="C946" s="31">
        <v>0</v>
      </c>
      <c r="D946" s="31">
        <v>0</v>
      </c>
      <c r="E946" s="31">
        <v>0</v>
      </c>
      <c r="F946" s="31">
        <v>0</v>
      </c>
      <c r="G946" s="29"/>
    </row>
    <row r="947" spans="1:7" x14ac:dyDescent="0.25">
      <c r="A947" s="30" t="s">
        <v>2622</v>
      </c>
      <c r="B947" s="30" t="s">
        <v>2623</v>
      </c>
      <c r="C947" s="31">
        <v>0</v>
      </c>
      <c r="D947" s="31">
        <v>0</v>
      </c>
      <c r="E947" s="31">
        <v>0</v>
      </c>
      <c r="F947" s="31">
        <v>0</v>
      </c>
      <c r="G947" s="29"/>
    </row>
    <row r="948" spans="1:7" x14ac:dyDescent="0.25">
      <c r="A948" s="30" t="s">
        <v>2624</v>
      </c>
      <c r="B948" s="30" t="s">
        <v>2625</v>
      </c>
      <c r="C948" s="31">
        <v>0</v>
      </c>
      <c r="D948" s="31">
        <v>0</v>
      </c>
      <c r="E948" s="31">
        <v>0</v>
      </c>
      <c r="F948" s="31">
        <v>0</v>
      </c>
      <c r="G948" s="29"/>
    </row>
    <row r="949" spans="1:7" x14ac:dyDescent="0.25">
      <c r="A949" s="30" t="s">
        <v>2626</v>
      </c>
      <c r="B949" s="30" t="s">
        <v>2627</v>
      </c>
      <c r="C949" s="31">
        <v>0</v>
      </c>
      <c r="D949" s="31">
        <v>0</v>
      </c>
      <c r="E949" s="31">
        <v>0</v>
      </c>
      <c r="F949" s="31">
        <v>0</v>
      </c>
      <c r="G949" s="29"/>
    </row>
    <row r="950" spans="1:7" x14ac:dyDescent="0.25">
      <c r="A950" s="30" t="s">
        <v>2628</v>
      </c>
      <c r="B950" s="30" t="s">
        <v>2629</v>
      </c>
      <c r="C950" s="31">
        <v>0</v>
      </c>
      <c r="D950" s="31">
        <v>0</v>
      </c>
      <c r="E950" s="31">
        <v>0</v>
      </c>
      <c r="F950" s="31">
        <v>0</v>
      </c>
      <c r="G950" s="29"/>
    </row>
    <row r="951" spans="1:7" x14ac:dyDescent="0.25">
      <c r="A951" s="30" t="s">
        <v>2630</v>
      </c>
      <c r="B951" s="30" t="s">
        <v>2631</v>
      </c>
      <c r="C951" s="31">
        <v>0</v>
      </c>
      <c r="D951" s="31">
        <v>0</v>
      </c>
      <c r="E951" s="31">
        <v>0</v>
      </c>
      <c r="F951" s="31">
        <v>0</v>
      </c>
      <c r="G951" s="29"/>
    </row>
    <row r="952" spans="1:7" x14ac:dyDescent="0.25">
      <c r="A952" s="30" t="s">
        <v>2632</v>
      </c>
      <c r="B952" s="30" t="s">
        <v>2633</v>
      </c>
      <c r="C952" s="31">
        <v>0</v>
      </c>
      <c r="D952" s="31">
        <v>0</v>
      </c>
      <c r="E952" s="31">
        <v>0</v>
      </c>
      <c r="F952" s="31">
        <v>0</v>
      </c>
      <c r="G952" s="29"/>
    </row>
    <row r="953" spans="1:7" x14ac:dyDescent="0.25">
      <c r="A953" s="30" t="s">
        <v>2634</v>
      </c>
      <c r="B953" s="30" t="s">
        <v>2635</v>
      </c>
      <c r="C953" s="31">
        <v>0</v>
      </c>
      <c r="D953" s="31">
        <v>0</v>
      </c>
      <c r="E953" s="31">
        <v>0</v>
      </c>
      <c r="F953" s="31">
        <v>0</v>
      </c>
      <c r="G953" s="29"/>
    </row>
    <row r="954" spans="1:7" x14ac:dyDescent="0.25">
      <c r="A954" s="30" t="s">
        <v>2636</v>
      </c>
      <c r="B954" s="30" t="s">
        <v>2637</v>
      </c>
      <c r="C954" s="31">
        <v>0</v>
      </c>
      <c r="D954" s="31">
        <v>0</v>
      </c>
      <c r="E954" s="31">
        <v>0</v>
      </c>
      <c r="F954" s="31">
        <v>0</v>
      </c>
      <c r="G954" s="29"/>
    </row>
    <row r="955" spans="1:7" x14ac:dyDescent="0.25">
      <c r="A955" s="23" t="s">
        <v>2157</v>
      </c>
      <c r="B955" s="23" t="s">
        <v>2</v>
      </c>
      <c r="C955" s="32">
        <v>0</v>
      </c>
      <c r="D955" s="32">
        <v>0</v>
      </c>
      <c r="E955" s="32">
        <f>SUM(E943:E954)</f>
        <v>0</v>
      </c>
      <c r="F955" s="32">
        <f>SUM(F943:F954)</f>
        <v>0</v>
      </c>
      <c r="G955" s="29"/>
    </row>
    <row r="956" spans="1:7" x14ac:dyDescent="0.25">
      <c r="A956" s="23" t="s">
        <v>2</v>
      </c>
      <c r="B956" s="23" t="s">
        <v>2</v>
      </c>
      <c r="C956" s="23" t="s">
        <v>2</v>
      </c>
      <c r="D956" s="23" t="s">
        <v>2</v>
      </c>
      <c r="E956" s="23" t="s">
        <v>2</v>
      </c>
      <c r="F956" s="23" t="s">
        <v>2</v>
      </c>
      <c r="G956" s="29"/>
    </row>
    <row r="957" spans="1:7" x14ac:dyDescent="0.25">
      <c r="A957" s="23" t="s">
        <v>2160</v>
      </c>
      <c r="B957" s="23" t="s">
        <v>2</v>
      </c>
      <c r="C957" s="29"/>
      <c r="D957" s="29"/>
      <c r="E957" s="29"/>
      <c r="F957" s="29"/>
      <c r="G957" s="29"/>
    </row>
    <row r="958" spans="1:7" x14ac:dyDescent="0.25">
      <c r="A958" s="30" t="s">
        <v>2638</v>
      </c>
      <c r="B958" s="30" t="s">
        <v>2639</v>
      </c>
      <c r="C958" s="31">
        <v>19694.060000000001</v>
      </c>
      <c r="D958" s="31">
        <v>5127.51</v>
      </c>
      <c r="E958" s="31">
        <v>20156</v>
      </c>
      <c r="F958" s="31">
        <v>0</v>
      </c>
      <c r="G958" s="29"/>
    </row>
    <row r="959" spans="1:7" x14ac:dyDescent="0.25">
      <c r="A959" s="30" t="s">
        <v>2640</v>
      </c>
      <c r="B959" s="30" t="s">
        <v>2641</v>
      </c>
      <c r="C959" s="31">
        <v>262413.65999999997</v>
      </c>
      <c r="D959" s="31">
        <v>109207.46</v>
      </c>
      <c r="E959" s="31">
        <v>277151</v>
      </c>
      <c r="F959" s="31">
        <v>0</v>
      </c>
      <c r="G959" s="29"/>
    </row>
    <row r="960" spans="1:7" x14ac:dyDescent="0.25">
      <c r="A960" s="30" t="s">
        <v>2642</v>
      </c>
      <c r="B960" s="30" t="s">
        <v>2643</v>
      </c>
      <c r="C960" s="31">
        <v>17232.48</v>
      </c>
      <c r="D960" s="31">
        <v>4486.62</v>
      </c>
      <c r="E960" s="31">
        <v>17713</v>
      </c>
      <c r="F960" s="31">
        <v>0</v>
      </c>
      <c r="G960" s="29"/>
    </row>
    <row r="961" spans="1:7" ht="24" x14ac:dyDescent="0.25">
      <c r="A961" s="23" t="s">
        <v>2171</v>
      </c>
      <c r="B961" s="23" t="s">
        <v>2</v>
      </c>
      <c r="C961" s="32">
        <v>299340.2</v>
      </c>
      <c r="D961" s="32">
        <v>118821.59</v>
      </c>
      <c r="E961" s="32">
        <f>SUM(E958:E960)</f>
        <v>315020</v>
      </c>
      <c r="F961" s="32">
        <f>SUM(F958:F960)</f>
        <v>0</v>
      </c>
      <c r="G961" s="29"/>
    </row>
    <row r="962" spans="1:7" x14ac:dyDescent="0.25">
      <c r="A962" s="23" t="s">
        <v>2</v>
      </c>
      <c r="B962" s="23" t="s">
        <v>2</v>
      </c>
      <c r="C962" s="23" t="s">
        <v>2</v>
      </c>
      <c r="D962" s="23" t="s">
        <v>2</v>
      </c>
      <c r="E962" s="23" t="s">
        <v>2</v>
      </c>
      <c r="F962" s="23" t="s">
        <v>2</v>
      </c>
      <c r="G962" s="29"/>
    </row>
    <row r="963" spans="1:7" ht="24" x14ac:dyDescent="0.25">
      <c r="A963" s="23" t="s">
        <v>2644</v>
      </c>
      <c r="B963" s="23" t="s">
        <v>2</v>
      </c>
      <c r="C963" s="29"/>
      <c r="D963" s="29"/>
      <c r="E963" s="29"/>
      <c r="F963" s="29"/>
      <c r="G963" s="29"/>
    </row>
    <row r="964" spans="1:7" x14ac:dyDescent="0.25">
      <c r="A964" s="23" t="s">
        <v>2645</v>
      </c>
      <c r="B964" s="23" t="s">
        <v>2</v>
      </c>
      <c r="C964" s="29"/>
      <c r="D964" s="29"/>
      <c r="E964" s="29"/>
      <c r="F964" s="29"/>
      <c r="G964" s="29"/>
    </row>
    <row r="965" spans="1:7" x14ac:dyDescent="0.25">
      <c r="A965" s="30" t="s">
        <v>2646</v>
      </c>
      <c r="B965" s="30" t="s">
        <v>2647</v>
      </c>
      <c r="C965" s="31">
        <v>0</v>
      </c>
      <c r="D965" s="31">
        <v>0</v>
      </c>
      <c r="E965" s="31">
        <v>0</v>
      </c>
      <c r="F965" s="31">
        <v>0</v>
      </c>
      <c r="G965" s="29"/>
    </row>
    <row r="966" spans="1:7" x14ac:dyDescent="0.25">
      <c r="A966" s="30" t="s">
        <v>2648</v>
      </c>
      <c r="B966" s="30" t="s">
        <v>2649</v>
      </c>
      <c r="C966" s="31">
        <v>0</v>
      </c>
      <c r="D966" s="31">
        <v>0</v>
      </c>
      <c r="E966" s="31">
        <v>0</v>
      </c>
      <c r="F966" s="31">
        <v>0</v>
      </c>
      <c r="G966" s="29"/>
    </row>
    <row r="967" spans="1:7" x14ac:dyDescent="0.25">
      <c r="A967" s="23" t="s">
        <v>2650</v>
      </c>
      <c r="B967" s="23" t="s">
        <v>2</v>
      </c>
      <c r="C967" s="32">
        <v>0</v>
      </c>
      <c r="D967" s="32">
        <v>0</v>
      </c>
      <c r="E967" s="32">
        <f>SUM(E965:E966)</f>
        <v>0</v>
      </c>
      <c r="F967" s="32">
        <f>SUM(F965:F966)</f>
        <v>0</v>
      </c>
      <c r="G967" s="29"/>
    </row>
    <row r="968" spans="1:7" x14ac:dyDescent="0.25">
      <c r="A968" s="23" t="s">
        <v>2</v>
      </c>
      <c r="B968" s="23" t="s">
        <v>2</v>
      </c>
      <c r="C968" s="23" t="s">
        <v>2</v>
      </c>
      <c r="D968" s="23" t="s">
        <v>2</v>
      </c>
      <c r="E968" s="23" t="s">
        <v>2</v>
      </c>
      <c r="F968" s="23" t="s">
        <v>2</v>
      </c>
      <c r="G968" s="29"/>
    </row>
    <row r="969" spans="1:7" x14ac:dyDescent="0.25">
      <c r="A969" s="23" t="s">
        <v>2174</v>
      </c>
      <c r="B969" s="23" t="s">
        <v>2</v>
      </c>
      <c r="C969" s="32">
        <v>300602.71000000002</v>
      </c>
      <c r="D969" s="32">
        <v>118821.59</v>
      </c>
      <c r="E969" s="32">
        <f>E936+E940+E955+E961+E967</f>
        <v>1410020</v>
      </c>
      <c r="F969" s="32">
        <f>F936+F940+F955+F961+F967</f>
        <v>0</v>
      </c>
      <c r="G969" s="29"/>
    </row>
    <row r="970" spans="1:7" x14ac:dyDescent="0.25">
      <c r="A970" s="23" t="s">
        <v>2</v>
      </c>
      <c r="B970" s="23" t="s">
        <v>2</v>
      </c>
      <c r="C970" s="23" t="s">
        <v>2</v>
      </c>
      <c r="D970" s="23" t="s">
        <v>2</v>
      </c>
      <c r="E970" s="23" t="s">
        <v>2</v>
      </c>
      <c r="F970" s="23" t="s">
        <v>2</v>
      </c>
      <c r="G970" s="29"/>
    </row>
    <row r="971" spans="1:7" x14ac:dyDescent="0.25">
      <c r="A971" s="30" t="s">
        <v>2651</v>
      </c>
      <c r="B971" s="30" t="s">
        <v>2652</v>
      </c>
      <c r="C971" s="31">
        <v>24600</v>
      </c>
      <c r="D971" s="31">
        <v>11800</v>
      </c>
      <c r="E971" s="31">
        <v>15000</v>
      </c>
      <c r="F971" s="31">
        <v>0</v>
      </c>
      <c r="G971" s="29"/>
    </row>
    <row r="972" spans="1:7" x14ac:dyDescent="0.25">
      <c r="A972" s="30" t="s">
        <v>2653</v>
      </c>
      <c r="B972" s="30" t="s">
        <v>2654</v>
      </c>
      <c r="C972" s="31">
        <v>0</v>
      </c>
      <c r="D972" s="31">
        <v>0</v>
      </c>
      <c r="E972" s="31">
        <v>0</v>
      </c>
      <c r="F972" s="31">
        <v>0</v>
      </c>
      <c r="G972" s="29"/>
    </row>
    <row r="973" spans="1:7" x14ac:dyDescent="0.25">
      <c r="A973" s="30" t="s">
        <v>2655</v>
      </c>
      <c r="B973" s="30" t="s">
        <v>2656</v>
      </c>
      <c r="C973" s="31">
        <v>0</v>
      </c>
      <c r="D973" s="31">
        <v>0</v>
      </c>
      <c r="E973" s="31">
        <v>0</v>
      </c>
      <c r="F973" s="31">
        <v>0</v>
      </c>
      <c r="G973" s="29"/>
    </row>
    <row r="974" spans="1:7" x14ac:dyDescent="0.25">
      <c r="A974" s="30" t="s">
        <v>2657</v>
      </c>
      <c r="B974" s="30" t="s">
        <v>2652</v>
      </c>
      <c r="C974" s="31">
        <v>0</v>
      </c>
      <c r="D974" s="31">
        <v>0</v>
      </c>
      <c r="E974" s="31">
        <v>0</v>
      </c>
      <c r="F974" s="31">
        <v>0</v>
      </c>
      <c r="G974" s="29"/>
    </row>
    <row r="975" spans="1:7" x14ac:dyDescent="0.25">
      <c r="A975" s="30"/>
      <c r="B975" s="30"/>
      <c r="C975" s="31"/>
      <c r="D975" s="31"/>
      <c r="E975" s="31"/>
      <c r="F975" s="31"/>
      <c r="G975" s="29"/>
    </row>
    <row r="976" spans="1:7" x14ac:dyDescent="0.25">
      <c r="A976" s="23" t="s">
        <v>2175</v>
      </c>
      <c r="B976" s="23" t="s">
        <v>2</v>
      </c>
      <c r="C976" s="29"/>
      <c r="D976" s="29"/>
      <c r="E976" s="29"/>
      <c r="F976" s="29"/>
      <c r="G976" s="29"/>
    </row>
    <row r="977" spans="1:7" x14ac:dyDescent="0.25">
      <c r="A977" s="23" t="s">
        <v>2176</v>
      </c>
      <c r="B977" s="23" t="s">
        <v>2</v>
      </c>
      <c r="C977" s="29"/>
      <c r="D977" s="29"/>
      <c r="E977" s="29"/>
      <c r="F977" s="29"/>
      <c r="G977" s="29"/>
    </row>
    <row r="978" spans="1:7" x14ac:dyDescent="0.25">
      <c r="A978" s="23" t="s">
        <v>2564</v>
      </c>
      <c r="B978" s="23" t="s">
        <v>2</v>
      </c>
      <c r="C978" s="29"/>
      <c r="D978" s="29"/>
      <c r="E978" s="29"/>
      <c r="F978" s="29"/>
      <c r="G978" s="29"/>
    </row>
    <row r="979" spans="1:7" x14ac:dyDescent="0.25">
      <c r="A979" s="30" t="s">
        <v>2658</v>
      </c>
      <c r="B979" s="30" t="s">
        <v>2409</v>
      </c>
      <c r="C979" s="31">
        <v>0</v>
      </c>
      <c r="D979" s="31">
        <v>0</v>
      </c>
      <c r="E979" s="31">
        <v>0</v>
      </c>
      <c r="F979" s="31">
        <v>0</v>
      </c>
      <c r="G979" s="29"/>
    </row>
    <row r="980" spans="1:7" x14ac:dyDescent="0.25">
      <c r="A980" s="23" t="s">
        <v>2580</v>
      </c>
      <c r="B980" s="23" t="s">
        <v>2</v>
      </c>
      <c r="C980" s="32">
        <v>0</v>
      </c>
      <c r="D980" s="32">
        <v>0</v>
      </c>
      <c r="E980" s="32">
        <f>SUM(E979)</f>
        <v>0</v>
      </c>
      <c r="F980" s="32">
        <f>SUM(F979)</f>
        <v>0</v>
      </c>
      <c r="G980" s="29"/>
    </row>
    <row r="981" spans="1:7" x14ac:dyDescent="0.25">
      <c r="A981" s="23" t="s">
        <v>2</v>
      </c>
      <c r="B981" s="23" t="s">
        <v>2</v>
      </c>
      <c r="C981" s="23" t="s">
        <v>2</v>
      </c>
      <c r="D981" s="23" t="s">
        <v>2</v>
      </c>
      <c r="E981" s="23" t="s">
        <v>2</v>
      </c>
      <c r="F981" s="23" t="s">
        <v>2</v>
      </c>
      <c r="G981" s="29"/>
    </row>
    <row r="982" spans="1:7" x14ac:dyDescent="0.25">
      <c r="A982" s="30" t="s">
        <v>2659</v>
      </c>
      <c r="B982" s="30" t="s">
        <v>2660</v>
      </c>
      <c r="C982" s="31">
        <v>0</v>
      </c>
      <c r="D982" s="31">
        <v>0</v>
      </c>
      <c r="E982" s="31">
        <v>0</v>
      </c>
      <c r="F982" s="31">
        <v>0</v>
      </c>
      <c r="G982" s="29"/>
    </row>
    <row r="983" spans="1:7" x14ac:dyDescent="0.25">
      <c r="A983" s="30"/>
      <c r="B983" s="30"/>
      <c r="C983" s="31"/>
      <c r="D983" s="31"/>
      <c r="E983" s="31"/>
      <c r="F983" s="31"/>
      <c r="G983" s="29"/>
    </row>
    <row r="984" spans="1:7" x14ac:dyDescent="0.25">
      <c r="A984" s="23" t="s">
        <v>2581</v>
      </c>
      <c r="B984" s="23" t="s">
        <v>2</v>
      </c>
      <c r="C984" s="29"/>
      <c r="D984" s="29"/>
      <c r="E984" s="29"/>
      <c r="F984" s="29"/>
      <c r="G984" s="29"/>
    </row>
    <row r="985" spans="1:7" x14ac:dyDescent="0.25">
      <c r="A985" s="30" t="s">
        <v>2661</v>
      </c>
      <c r="B985" s="30" t="s">
        <v>2662</v>
      </c>
      <c r="C985" s="31">
        <v>0</v>
      </c>
      <c r="D985" s="31">
        <v>0</v>
      </c>
      <c r="E985" s="31">
        <v>0</v>
      </c>
      <c r="F985" s="31">
        <v>0</v>
      </c>
      <c r="G985" s="29"/>
    </row>
    <row r="986" spans="1:7" x14ac:dyDescent="0.25">
      <c r="A986" s="30" t="s">
        <v>2663</v>
      </c>
      <c r="B986" s="30" t="s">
        <v>2664</v>
      </c>
      <c r="C986" s="31">
        <v>224.88</v>
      </c>
      <c r="D986" s="31">
        <v>0</v>
      </c>
      <c r="E986" s="31">
        <v>0</v>
      </c>
      <c r="F986" s="31">
        <v>0</v>
      </c>
      <c r="G986" s="29"/>
    </row>
    <row r="987" spans="1:7" x14ac:dyDescent="0.25">
      <c r="A987" s="30" t="s">
        <v>2665</v>
      </c>
      <c r="B987" s="30" t="s">
        <v>64</v>
      </c>
      <c r="C987" s="31">
        <v>353.5</v>
      </c>
      <c r="D987" s="31">
        <v>0</v>
      </c>
      <c r="E987" s="31">
        <v>0</v>
      </c>
      <c r="F987" s="31">
        <v>0</v>
      </c>
      <c r="G987" s="29"/>
    </row>
    <row r="988" spans="1:7" x14ac:dyDescent="0.25">
      <c r="A988" s="23" t="s">
        <v>2585</v>
      </c>
      <c r="B988" s="23" t="s">
        <v>2</v>
      </c>
      <c r="C988" s="32">
        <v>578.38</v>
      </c>
      <c r="D988" s="32">
        <v>0</v>
      </c>
      <c r="E988" s="32">
        <f>SUM(E985:E987)</f>
        <v>0</v>
      </c>
      <c r="F988" s="32">
        <f>SUM(F985:F987)</f>
        <v>0</v>
      </c>
      <c r="G988" s="29"/>
    </row>
    <row r="989" spans="1:7" x14ac:dyDescent="0.25">
      <c r="A989" s="23" t="s">
        <v>2</v>
      </c>
      <c r="B989" s="23" t="s">
        <v>2</v>
      </c>
      <c r="C989" s="23" t="s">
        <v>2</v>
      </c>
      <c r="D989" s="23" t="s">
        <v>2</v>
      </c>
      <c r="E989" s="23" t="s">
        <v>2</v>
      </c>
      <c r="F989" s="23" t="s">
        <v>2</v>
      </c>
      <c r="G989" s="29"/>
    </row>
    <row r="990" spans="1:7" x14ac:dyDescent="0.25">
      <c r="A990" s="23" t="s">
        <v>2180</v>
      </c>
      <c r="B990" s="23" t="s">
        <v>2</v>
      </c>
      <c r="C990" s="32">
        <v>578.38</v>
      </c>
      <c r="D990" s="32">
        <v>0</v>
      </c>
      <c r="E990" s="32">
        <f>E980+E982+E988</f>
        <v>0</v>
      </c>
      <c r="F990" s="32">
        <f>F980+F982+F988</f>
        <v>0</v>
      </c>
      <c r="G990" s="29"/>
    </row>
    <row r="991" spans="1:7" x14ac:dyDescent="0.25">
      <c r="A991" s="23" t="s">
        <v>2</v>
      </c>
      <c r="B991" s="23" t="s">
        <v>2</v>
      </c>
      <c r="C991" s="23" t="s">
        <v>2</v>
      </c>
      <c r="D991" s="23" t="s">
        <v>2</v>
      </c>
      <c r="E991" s="23" t="s">
        <v>2</v>
      </c>
      <c r="F991" s="23" t="s">
        <v>2</v>
      </c>
      <c r="G991" s="29"/>
    </row>
    <row r="992" spans="1:7" x14ac:dyDescent="0.25">
      <c r="A992" s="23" t="s">
        <v>2553</v>
      </c>
      <c r="B992" s="23" t="s">
        <v>2</v>
      </c>
      <c r="C992" s="29"/>
      <c r="D992" s="29"/>
      <c r="E992" s="29"/>
      <c r="F992" s="29"/>
      <c r="G992" s="29"/>
    </row>
    <row r="993" spans="1:7" x14ac:dyDescent="0.25">
      <c r="A993" s="23" t="s">
        <v>2666</v>
      </c>
      <c r="B993" s="23" t="s">
        <v>2</v>
      </c>
      <c r="C993" s="29"/>
      <c r="D993" s="29"/>
      <c r="E993" s="29"/>
      <c r="F993" s="29"/>
      <c r="G993" s="29"/>
    </row>
    <row r="994" spans="1:7" ht="24" x14ac:dyDescent="0.25">
      <c r="A994" s="23" t="s">
        <v>2667</v>
      </c>
      <c r="B994" s="23" t="s">
        <v>2</v>
      </c>
      <c r="C994" s="29"/>
      <c r="D994" s="29"/>
      <c r="E994" s="29"/>
      <c r="F994" s="29"/>
      <c r="G994" s="29"/>
    </row>
    <row r="995" spans="1:7" x14ac:dyDescent="0.25">
      <c r="A995" s="30" t="s">
        <v>2668</v>
      </c>
      <c r="B995" s="30" t="s">
        <v>2669</v>
      </c>
      <c r="C995" s="31">
        <v>9993.36</v>
      </c>
      <c r="D995" s="31">
        <v>0</v>
      </c>
      <c r="E995" s="31">
        <v>0</v>
      </c>
      <c r="F995" s="31">
        <v>0</v>
      </c>
      <c r="G995" s="29"/>
    </row>
    <row r="996" spans="1:7" ht="24" x14ac:dyDescent="0.25">
      <c r="A996" s="23" t="s">
        <v>2670</v>
      </c>
      <c r="B996" s="23" t="s">
        <v>2</v>
      </c>
      <c r="C996" s="32">
        <v>9993.36</v>
      </c>
      <c r="D996" s="32">
        <v>0</v>
      </c>
      <c r="E996" s="32">
        <f>SUM(E995)</f>
        <v>0</v>
      </c>
      <c r="F996" s="32">
        <f>SUM(F995)</f>
        <v>0</v>
      </c>
      <c r="G996" s="29"/>
    </row>
    <row r="997" spans="1:7" x14ac:dyDescent="0.25">
      <c r="A997" s="23" t="s">
        <v>2</v>
      </c>
      <c r="B997" s="23" t="s">
        <v>2</v>
      </c>
      <c r="C997" s="23" t="s">
        <v>2</v>
      </c>
      <c r="D997" s="23" t="s">
        <v>2</v>
      </c>
      <c r="E997" s="23" t="s">
        <v>2</v>
      </c>
      <c r="F997" s="23" t="s">
        <v>2</v>
      </c>
      <c r="G997" s="29"/>
    </row>
    <row r="998" spans="1:7" x14ac:dyDescent="0.25">
      <c r="A998" s="23" t="s">
        <v>2691</v>
      </c>
      <c r="B998" s="23" t="s">
        <v>2</v>
      </c>
      <c r="C998" s="29"/>
      <c r="D998" s="29"/>
      <c r="E998" s="29"/>
      <c r="F998" s="29"/>
      <c r="G998" s="29"/>
    </row>
    <row r="999" spans="1:7" x14ac:dyDescent="0.25">
      <c r="A999" s="30" t="s">
        <v>2671</v>
      </c>
      <c r="B999" s="30" t="s">
        <v>2672</v>
      </c>
      <c r="C999" s="31">
        <v>212959.25</v>
      </c>
      <c r="D999" s="31">
        <v>60537.73</v>
      </c>
      <c r="E999" s="31">
        <v>905000</v>
      </c>
      <c r="F999" s="31">
        <v>0</v>
      </c>
      <c r="G999" s="29"/>
    </row>
    <row r="1000" spans="1:7" x14ac:dyDescent="0.25">
      <c r="A1000" s="30" t="s">
        <v>2673</v>
      </c>
      <c r="B1000" s="30" t="s">
        <v>2674</v>
      </c>
      <c r="C1000" s="31">
        <v>770000</v>
      </c>
      <c r="D1000" s="31">
        <v>187000</v>
      </c>
      <c r="E1000" s="31">
        <v>1275000</v>
      </c>
      <c r="F1000" s="31">
        <v>0</v>
      </c>
      <c r="G1000" s="29"/>
    </row>
    <row r="1001" spans="1:7" x14ac:dyDescent="0.25">
      <c r="A1001" s="30" t="s">
        <v>2675</v>
      </c>
      <c r="B1001" s="30" t="s">
        <v>2676</v>
      </c>
      <c r="C1001" s="31">
        <v>0</v>
      </c>
      <c r="D1001" s="31">
        <v>0</v>
      </c>
      <c r="E1001" s="31">
        <v>0</v>
      </c>
      <c r="F1001" s="31">
        <v>0</v>
      </c>
      <c r="G1001" s="29"/>
    </row>
    <row r="1002" spans="1:7" x14ac:dyDescent="0.25">
      <c r="A1002" s="30" t="s">
        <v>2677</v>
      </c>
      <c r="B1002" s="30" t="s">
        <v>2678</v>
      </c>
      <c r="C1002" s="31">
        <v>0</v>
      </c>
      <c r="D1002" s="31">
        <v>0</v>
      </c>
      <c r="E1002" s="31">
        <v>0</v>
      </c>
      <c r="F1002" s="31">
        <v>0</v>
      </c>
      <c r="G1002" s="29"/>
    </row>
    <row r="1003" spans="1:7" x14ac:dyDescent="0.25">
      <c r="A1003" s="30" t="s">
        <v>2679</v>
      </c>
      <c r="B1003" s="30" t="s">
        <v>2680</v>
      </c>
      <c r="C1003" s="31">
        <v>0</v>
      </c>
      <c r="D1003" s="31">
        <v>0</v>
      </c>
      <c r="E1003" s="31">
        <v>0</v>
      </c>
      <c r="F1003" s="31">
        <v>0</v>
      </c>
      <c r="G1003" s="29"/>
    </row>
    <row r="1004" spans="1:7" x14ac:dyDescent="0.25">
      <c r="A1004" s="30" t="s">
        <v>2681</v>
      </c>
      <c r="B1004" s="30" t="s">
        <v>2682</v>
      </c>
      <c r="C1004" s="31">
        <v>0</v>
      </c>
      <c r="D1004" s="31">
        <v>0</v>
      </c>
      <c r="E1004" s="31">
        <v>100000</v>
      </c>
      <c r="F1004" s="31">
        <v>0</v>
      </c>
      <c r="G1004" s="29"/>
    </row>
    <row r="1005" spans="1:7" x14ac:dyDescent="0.25">
      <c r="A1005" s="30" t="s">
        <v>2683</v>
      </c>
      <c r="B1005" s="30" t="s">
        <v>2684</v>
      </c>
      <c r="C1005" s="31">
        <v>54774.81</v>
      </c>
      <c r="D1005" s="31">
        <v>776.88</v>
      </c>
      <c r="E1005" s="31">
        <v>150000</v>
      </c>
      <c r="F1005" s="31">
        <v>0</v>
      </c>
      <c r="G1005" s="29"/>
    </row>
    <row r="1006" spans="1:7" x14ac:dyDescent="0.25">
      <c r="A1006" s="30" t="s">
        <v>2685</v>
      </c>
      <c r="B1006" s="30" t="s">
        <v>2686</v>
      </c>
      <c r="C1006" s="31">
        <v>0</v>
      </c>
      <c r="D1006" s="31">
        <v>0</v>
      </c>
      <c r="E1006" s="31">
        <v>0</v>
      </c>
      <c r="F1006" s="31">
        <v>0</v>
      </c>
      <c r="G1006" s="29"/>
    </row>
    <row r="1007" spans="1:7" x14ac:dyDescent="0.25">
      <c r="A1007" s="30" t="s">
        <v>2687</v>
      </c>
      <c r="B1007" s="30" t="s">
        <v>2688</v>
      </c>
      <c r="C1007" s="31">
        <v>0</v>
      </c>
      <c r="D1007" s="31">
        <v>0</v>
      </c>
      <c r="E1007" s="31">
        <v>250000</v>
      </c>
      <c r="F1007" s="31">
        <v>0</v>
      </c>
      <c r="G1007" s="29"/>
    </row>
    <row r="1008" spans="1:7" x14ac:dyDescent="0.25">
      <c r="A1008" s="30" t="s">
        <v>2689</v>
      </c>
      <c r="B1008" s="30" t="s">
        <v>2690</v>
      </c>
      <c r="C1008" s="31">
        <v>0</v>
      </c>
      <c r="D1008" s="31">
        <v>0</v>
      </c>
      <c r="E1008" s="31">
        <v>250000</v>
      </c>
      <c r="F1008" s="31">
        <v>0</v>
      </c>
      <c r="G1008" s="29"/>
    </row>
    <row r="1009" spans="1:7" x14ac:dyDescent="0.25">
      <c r="A1009" s="23" t="s">
        <v>2692</v>
      </c>
      <c r="B1009" s="23" t="s">
        <v>2</v>
      </c>
      <c r="C1009" s="32">
        <v>1037734.06</v>
      </c>
      <c r="D1009" s="32">
        <v>248314.61</v>
      </c>
      <c r="E1009" s="32">
        <f>SUM(E999:E1008)</f>
        <v>2930000</v>
      </c>
      <c r="F1009" s="32">
        <f>SUM(F999:F1008)</f>
        <v>0</v>
      </c>
      <c r="G1009" s="29"/>
    </row>
    <row r="1010" spans="1:7" x14ac:dyDescent="0.25">
      <c r="A1010" s="23" t="s">
        <v>2</v>
      </c>
      <c r="B1010" s="23" t="s">
        <v>2</v>
      </c>
      <c r="C1010" s="23" t="s">
        <v>2</v>
      </c>
      <c r="D1010" s="23" t="s">
        <v>2</v>
      </c>
      <c r="E1010" s="23" t="s">
        <v>2</v>
      </c>
      <c r="F1010" s="23" t="s">
        <v>2</v>
      </c>
      <c r="G1010" s="29"/>
    </row>
    <row r="1011" spans="1:7" x14ac:dyDescent="0.25">
      <c r="A1011" s="23" t="s">
        <v>2556</v>
      </c>
      <c r="B1011" s="23" t="s">
        <v>2</v>
      </c>
      <c r="C1011" s="32">
        <v>1047727.42</v>
      </c>
      <c r="D1011" s="32">
        <v>248314.61</v>
      </c>
      <c r="E1011" s="32">
        <f>E996+E1009</f>
        <v>2930000</v>
      </c>
      <c r="F1011" s="32">
        <f>F996+F1009</f>
        <v>0</v>
      </c>
      <c r="G1011" s="29"/>
    </row>
    <row r="1012" spans="1:7" x14ac:dyDescent="0.25">
      <c r="A1012" s="23" t="s">
        <v>2</v>
      </c>
      <c r="B1012" s="23" t="s">
        <v>2</v>
      </c>
      <c r="C1012" s="23" t="s">
        <v>2</v>
      </c>
      <c r="D1012" s="23" t="s">
        <v>2</v>
      </c>
      <c r="E1012" s="23" t="s">
        <v>2</v>
      </c>
      <c r="F1012" s="23" t="s">
        <v>2</v>
      </c>
      <c r="G1012" s="29"/>
    </row>
    <row r="1013" spans="1:7" x14ac:dyDescent="0.25">
      <c r="A1013" s="39" t="s">
        <v>2047</v>
      </c>
      <c r="B1013" s="23" t="s">
        <v>2</v>
      </c>
      <c r="C1013" s="32">
        <v>1373508.51</v>
      </c>
      <c r="D1013" s="32">
        <v>378936.2</v>
      </c>
      <c r="E1013" s="32">
        <f>E1011+E990+SUM(E971:E974)+E969</f>
        <v>4355020</v>
      </c>
      <c r="F1013" s="32">
        <f>F1011+F990+SUM(F971:F974)+F969</f>
        <v>0</v>
      </c>
      <c r="G1013" s="29"/>
    </row>
    <row r="1014" spans="1:7" x14ac:dyDescent="0.25">
      <c r="A1014" s="1" t="s">
        <v>740</v>
      </c>
      <c r="B1014" s="1" t="s">
        <v>2</v>
      </c>
    </row>
    <row r="1015" spans="1:7" ht="29.25" customHeight="1" x14ac:dyDescent="0.25">
      <c r="A1015" s="1" t="s">
        <v>806</v>
      </c>
      <c r="B1015" s="1" t="s">
        <v>2</v>
      </c>
    </row>
    <row r="1016" spans="1:7" x14ac:dyDescent="0.25">
      <c r="A1016" s="2" t="s">
        <v>807</v>
      </c>
      <c r="B1016" s="2" t="s">
        <v>808</v>
      </c>
      <c r="C1016" s="3">
        <v>0</v>
      </c>
      <c r="D1016" s="3">
        <v>0</v>
      </c>
      <c r="E1016" s="3">
        <v>0</v>
      </c>
      <c r="F1016" s="5">
        <v>0</v>
      </c>
    </row>
    <row r="1017" spans="1:7" ht="15" customHeight="1" x14ac:dyDescent="0.25">
      <c r="A1017" s="2" t="s">
        <v>809</v>
      </c>
      <c r="B1017" s="2" t="s">
        <v>810</v>
      </c>
      <c r="C1017" s="3">
        <v>0</v>
      </c>
      <c r="D1017" s="3">
        <v>0</v>
      </c>
      <c r="E1017" s="3">
        <v>0</v>
      </c>
      <c r="F1017" s="5">
        <v>0</v>
      </c>
    </row>
    <row r="1018" spans="1:7" x14ac:dyDescent="0.25">
      <c r="A1018" s="2" t="s">
        <v>811</v>
      </c>
      <c r="B1018" s="2" t="s">
        <v>812</v>
      </c>
      <c r="C1018" s="3">
        <v>0</v>
      </c>
      <c r="D1018" s="3">
        <v>0</v>
      </c>
      <c r="E1018" s="3">
        <v>0</v>
      </c>
      <c r="F1018" s="5">
        <v>0</v>
      </c>
    </row>
    <row r="1019" spans="1:7" x14ac:dyDescent="0.25">
      <c r="A1019" s="2" t="s">
        <v>813</v>
      </c>
      <c r="B1019" s="2" t="s">
        <v>814</v>
      </c>
      <c r="C1019" s="3">
        <v>0</v>
      </c>
      <c r="D1019" s="3">
        <v>0</v>
      </c>
      <c r="E1019" s="3">
        <v>0</v>
      </c>
      <c r="F1019" s="5">
        <v>0</v>
      </c>
    </row>
    <row r="1020" spans="1:7" ht="15" customHeight="1" x14ac:dyDescent="0.25">
      <c r="A1020" s="2" t="s">
        <v>815</v>
      </c>
      <c r="B1020" s="2" t="s">
        <v>816</v>
      </c>
      <c r="C1020" s="3">
        <v>0</v>
      </c>
      <c r="D1020" s="3">
        <v>704.79</v>
      </c>
      <c r="E1020" s="3">
        <v>0</v>
      </c>
      <c r="F1020" s="5">
        <v>0</v>
      </c>
    </row>
    <row r="1021" spans="1:7" x14ac:dyDescent="0.25">
      <c r="A1021" s="2" t="s">
        <v>817</v>
      </c>
      <c r="B1021" s="2" t="s">
        <v>818</v>
      </c>
      <c r="C1021" s="3">
        <v>0</v>
      </c>
      <c r="D1021" s="3">
        <v>168.8</v>
      </c>
      <c r="E1021" s="3">
        <v>500000</v>
      </c>
      <c r="F1021" s="5">
        <v>0</v>
      </c>
    </row>
    <row r="1022" spans="1:7" ht="15" customHeight="1" x14ac:dyDescent="0.25">
      <c r="A1022" s="2" t="s">
        <v>819</v>
      </c>
      <c r="B1022" s="2" t="s">
        <v>820</v>
      </c>
      <c r="C1022" s="3">
        <v>85895.94</v>
      </c>
      <c r="D1022" s="3">
        <v>9262</v>
      </c>
      <c r="E1022" s="3">
        <v>0</v>
      </c>
      <c r="F1022" s="5">
        <v>0</v>
      </c>
    </row>
    <row r="1023" spans="1:7" ht="15" customHeight="1" x14ac:dyDescent="0.25">
      <c r="A1023" s="2" t="s">
        <v>821</v>
      </c>
      <c r="B1023" s="2" t="s">
        <v>822</v>
      </c>
      <c r="C1023" s="3">
        <v>0</v>
      </c>
      <c r="D1023" s="3">
        <v>0</v>
      </c>
      <c r="E1023" s="3">
        <v>100000</v>
      </c>
      <c r="F1023" s="5">
        <v>0</v>
      </c>
    </row>
    <row r="1024" spans="1:7" ht="15" customHeight="1" x14ac:dyDescent="0.25">
      <c r="A1024" s="2" t="s">
        <v>823</v>
      </c>
      <c r="B1024" s="2" t="s">
        <v>824</v>
      </c>
      <c r="C1024" s="3">
        <v>0</v>
      </c>
      <c r="D1024" s="3">
        <v>0</v>
      </c>
      <c r="E1024" s="3">
        <v>0</v>
      </c>
      <c r="F1024" s="5">
        <v>0</v>
      </c>
    </row>
    <row r="1025" spans="1:6" x14ac:dyDescent="0.25">
      <c r="A1025" s="2" t="s">
        <v>825</v>
      </c>
      <c r="B1025" s="2" t="s">
        <v>826</v>
      </c>
      <c r="C1025" s="3">
        <v>0</v>
      </c>
      <c r="D1025" s="3">
        <v>0</v>
      </c>
      <c r="E1025" s="3">
        <v>0</v>
      </c>
      <c r="F1025" s="5">
        <v>0</v>
      </c>
    </row>
    <row r="1026" spans="1:6" x14ac:dyDescent="0.25">
      <c r="A1026" s="2" t="s">
        <v>827</v>
      </c>
      <c r="B1026" s="2" t="s">
        <v>828</v>
      </c>
      <c r="C1026" s="3">
        <v>0</v>
      </c>
      <c r="D1026" s="3">
        <v>0</v>
      </c>
      <c r="E1026" s="3">
        <v>0</v>
      </c>
      <c r="F1026" s="5">
        <v>0</v>
      </c>
    </row>
    <row r="1027" spans="1:6" x14ac:dyDescent="0.25">
      <c r="A1027" s="2" t="s">
        <v>829</v>
      </c>
      <c r="B1027" s="2" t="s">
        <v>830</v>
      </c>
      <c r="C1027" s="3">
        <v>0</v>
      </c>
      <c r="D1027" s="3">
        <v>0</v>
      </c>
      <c r="E1027" s="3">
        <v>0</v>
      </c>
      <c r="F1027" s="5">
        <v>0</v>
      </c>
    </row>
    <row r="1028" spans="1:6" x14ac:dyDescent="0.25">
      <c r="A1028" s="2" t="s">
        <v>831</v>
      </c>
      <c r="B1028" s="2" t="s">
        <v>832</v>
      </c>
      <c r="C1028" s="3">
        <v>0</v>
      </c>
      <c r="D1028" s="3">
        <v>0</v>
      </c>
      <c r="E1028" s="3">
        <v>0</v>
      </c>
      <c r="F1028" s="5">
        <v>0</v>
      </c>
    </row>
    <row r="1029" spans="1:6" ht="15" customHeight="1" x14ac:dyDescent="0.25">
      <c r="A1029" s="2" t="s">
        <v>833</v>
      </c>
      <c r="B1029" s="2" t="s">
        <v>834</v>
      </c>
      <c r="C1029" s="3">
        <v>0</v>
      </c>
      <c r="D1029" s="3">
        <v>0</v>
      </c>
      <c r="E1029" s="3">
        <v>0</v>
      </c>
      <c r="F1029" s="5">
        <v>0</v>
      </c>
    </row>
    <row r="1030" spans="1:6" ht="15" customHeight="1" x14ac:dyDescent="0.25">
      <c r="A1030" s="2" t="s">
        <v>835</v>
      </c>
      <c r="B1030" s="2" t="s">
        <v>836</v>
      </c>
      <c r="C1030" s="3">
        <v>0</v>
      </c>
      <c r="D1030" s="3">
        <v>0</v>
      </c>
      <c r="E1030" s="3">
        <v>0</v>
      </c>
      <c r="F1030" s="5">
        <v>0</v>
      </c>
    </row>
    <row r="1031" spans="1:6" x14ac:dyDescent="0.25">
      <c r="A1031" s="2" t="s">
        <v>837</v>
      </c>
      <c r="B1031" s="2" t="s">
        <v>838</v>
      </c>
      <c r="C1031" s="3">
        <v>33003.56</v>
      </c>
      <c r="D1031" s="3">
        <v>17094.310000000001</v>
      </c>
      <c r="E1031" s="3">
        <v>0</v>
      </c>
      <c r="F1031" s="5">
        <v>0</v>
      </c>
    </row>
    <row r="1032" spans="1:6" x14ac:dyDescent="0.25">
      <c r="A1032" s="2" t="s">
        <v>839</v>
      </c>
      <c r="B1032" s="2" t="s">
        <v>840</v>
      </c>
      <c r="C1032" s="3">
        <v>0</v>
      </c>
      <c r="D1032" s="3">
        <v>0</v>
      </c>
      <c r="E1032" s="3">
        <v>0</v>
      </c>
      <c r="F1032" s="5">
        <v>0</v>
      </c>
    </row>
    <row r="1033" spans="1:6" x14ac:dyDescent="0.25">
      <c r="A1033" s="2" t="s">
        <v>841</v>
      </c>
      <c r="B1033" s="2" t="s">
        <v>842</v>
      </c>
      <c r="C1033" s="3">
        <v>0</v>
      </c>
      <c r="D1033" s="3">
        <v>0</v>
      </c>
      <c r="E1033" s="3">
        <v>0</v>
      </c>
      <c r="F1033" s="5">
        <v>0</v>
      </c>
    </row>
    <row r="1034" spans="1:6" ht="15" customHeight="1" x14ac:dyDescent="0.25">
      <c r="A1034" s="2" t="s">
        <v>843</v>
      </c>
      <c r="B1034" s="2" t="s">
        <v>844</v>
      </c>
      <c r="C1034" s="3">
        <v>0</v>
      </c>
      <c r="D1034" s="3">
        <v>0</v>
      </c>
      <c r="E1034" s="3">
        <v>0</v>
      </c>
      <c r="F1034" s="5">
        <v>0</v>
      </c>
    </row>
    <row r="1035" spans="1:6" ht="15" customHeight="1" x14ac:dyDescent="0.25">
      <c r="A1035" s="2" t="s">
        <v>845</v>
      </c>
      <c r="B1035" s="2" t="s">
        <v>846</v>
      </c>
      <c r="C1035" s="3">
        <v>0</v>
      </c>
      <c r="D1035" s="3">
        <v>0</v>
      </c>
      <c r="E1035" s="3">
        <v>0</v>
      </c>
      <c r="F1035" s="5">
        <v>0</v>
      </c>
    </row>
    <row r="1036" spans="1:6" ht="15" customHeight="1" x14ac:dyDescent="0.25">
      <c r="A1036" s="2" t="s">
        <v>847</v>
      </c>
      <c r="B1036" s="2" t="s">
        <v>848</v>
      </c>
      <c r="C1036" s="3">
        <v>0</v>
      </c>
      <c r="D1036" s="3">
        <v>0</v>
      </c>
      <c r="E1036" s="3">
        <v>0</v>
      </c>
      <c r="F1036" s="5">
        <v>0</v>
      </c>
    </row>
    <row r="1037" spans="1:6" ht="15" customHeight="1" x14ac:dyDescent="0.25">
      <c r="A1037" s="2" t="s">
        <v>849</v>
      </c>
      <c r="B1037" s="2" t="s">
        <v>850</v>
      </c>
      <c r="C1037" s="3">
        <v>0</v>
      </c>
      <c r="D1037" s="3">
        <v>0</v>
      </c>
      <c r="E1037" s="3">
        <v>0</v>
      </c>
      <c r="F1037" s="5">
        <v>0</v>
      </c>
    </row>
    <row r="1038" spans="1:6" ht="15" customHeight="1" x14ac:dyDescent="0.25">
      <c r="A1038" s="2" t="s">
        <v>851</v>
      </c>
      <c r="B1038" s="2" t="s">
        <v>852</v>
      </c>
      <c r="C1038" s="3">
        <v>0</v>
      </c>
      <c r="D1038" s="3">
        <v>0</v>
      </c>
      <c r="E1038" s="3">
        <v>0</v>
      </c>
      <c r="F1038" s="5">
        <v>0</v>
      </c>
    </row>
    <row r="1039" spans="1:6" ht="15" customHeight="1" x14ac:dyDescent="0.25">
      <c r="A1039" s="2" t="s">
        <v>853</v>
      </c>
      <c r="B1039" s="2" t="s">
        <v>854</v>
      </c>
      <c r="C1039" s="3">
        <v>94059.75</v>
      </c>
      <c r="D1039" s="3">
        <v>39109.519999999997</v>
      </c>
      <c r="E1039" s="3">
        <v>150000</v>
      </c>
      <c r="F1039" s="5">
        <v>0</v>
      </c>
    </row>
    <row r="1040" spans="1:6" ht="15" customHeight="1" x14ac:dyDescent="0.25">
      <c r="A1040" s="2" t="s">
        <v>855</v>
      </c>
      <c r="B1040" s="2" t="s">
        <v>856</v>
      </c>
      <c r="C1040" s="3">
        <v>0</v>
      </c>
      <c r="D1040" s="3">
        <v>0</v>
      </c>
      <c r="E1040" s="3">
        <v>1600000</v>
      </c>
      <c r="F1040" s="5">
        <v>0</v>
      </c>
    </row>
    <row r="1041" spans="1:6" ht="15" customHeight="1" x14ac:dyDescent="0.25">
      <c r="A1041" s="2" t="s">
        <v>857</v>
      </c>
      <c r="B1041" s="2" t="s">
        <v>858</v>
      </c>
      <c r="C1041" s="3">
        <v>0</v>
      </c>
      <c r="D1041" s="3">
        <v>0</v>
      </c>
      <c r="E1041" s="3">
        <v>0</v>
      </c>
      <c r="F1041" s="5">
        <v>0</v>
      </c>
    </row>
    <row r="1042" spans="1:6" ht="15" customHeight="1" x14ac:dyDescent="0.25">
      <c r="A1042" s="2" t="s">
        <v>859</v>
      </c>
      <c r="B1042" s="2" t="s">
        <v>860</v>
      </c>
      <c r="C1042" s="3">
        <v>0</v>
      </c>
      <c r="D1042" s="3">
        <v>0</v>
      </c>
      <c r="E1042" s="3">
        <v>0</v>
      </c>
      <c r="F1042" s="5">
        <v>0</v>
      </c>
    </row>
    <row r="1043" spans="1:6" ht="15" customHeight="1" x14ac:dyDescent="0.25">
      <c r="A1043" s="2" t="s">
        <v>861</v>
      </c>
      <c r="B1043" s="2" t="s">
        <v>862</v>
      </c>
      <c r="C1043" s="3">
        <v>31064.639999999999</v>
      </c>
      <c r="D1043" s="3">
        <v>6972.15</v>
      </c>
      <c r="E1043" s="3">
        <v>50000</v>
      </c>
      <c r="F1043" s="5">
        <v>0</v>
      </c>
    </row>
    <row r="1044" spans="1:6" ht="15" customHeight="1" x14ac:dyDescent="0.25">
      <c r="A1044" s="2" t="s">
        <v>863</v>
      </c>
      <c r="B1044" s="2" t="s">
        <v>864</v>
      </c>
      <c r="C1044" s="3">
        <v>0</v>
      </c>
      <c r="D1044" s="3">
        <v>0</v>
      </c>
      <c r="E1044" s="3">
        <v>0</v>
      </c>
      <c r="F1044" s="5">
        <v>0</v>
      </c>
    </row>
    <row r="1045" spans="1:6" ht="15" customHeight="1" x14ac:dyDescent="0.25">
      <c r="A1045" s="2" t="s">
        <v>865</v>
      </c>
      <c r="B1045" s="2" t="s">
        <v>866</v>
      </c>
      <c r="C1045" s="3">
        <v>0</v>
      </c>
      <c r="D1045" s="3">
        <v>0</v>
      </c>
      <c r="E1045" s="3">
        <v>250000</v>
      </c>
      <c r="F1045" s="5">
        <v>0</v>
      </c>
    </row>
    <row r="1046" spans="1:6" ht="15" customHeight="1" x14ac:dyDescent="0.25">
      <c r="A1046" s="2" t="s">
        <v>867</v>
      </c>
      <c r="B1046" s="2" t="s">
        <v>868</v>
      </c>
      <c r="C1046" s="3">
        <v>0</v>
      </c>
      <c r="D1046" s="3">
        <v>0</v>
      </c>
      <c r="E1046" s="3">
        <v>0</v>
      </c>
      <c r="F1046" s="5">
        <v>0</v>
      </c>
    </row>
    <row r="1047" spans="1:6" ht="15" customHeight="1" x14ac:dyDescent="0.25">
      <c r="A1047" s="2" t="s">
        <v>869</v>
      </c>
      <c r="B1047" s="2" t="s">
        <v>870</v>
      </c>
      <c r="C1047" s="3">
        <v>0</v>
      </c>
      <c r="D1047" s="3">
        <v>0</v>
      </c>
      <c r="E1047" s="3">
        <v>0</v>
      </c>
      <c r="F1047" s="5">
        <v>0</v>
      </c>
    </row>
    <row r="1048" spans="1:6" ht="15" customHeight="1" x14ac:dyDescent="0.25">
      <c r="A1048" s="2" t="s">
        <v>871</v>
      </c>
      <c r="B1048" s="2" t="s">
        <v>872</v>
      </c>
      <c r="C1048" s="3">
        <v>0</v>
      </c>
      <c r="D1048" s="3">
        <v>5892.83</v>
      </c>
      <c r="E1048" s="3">
        <v>0</v>
      </c>
      <c r="F1048" s="5">
        <v>0</v>
      </c>
    </row>
    <row r="1049" spans="1:6" ht="15" customHeight="1" x14ac:dyDescent="0.25">
      <c r="A1049" s="2" t="s">
        <v>873</v>
      </c>
      <c r="B1049" s="2" t="s">
        <v>874</v>
      </c>
      <c r="C1049" s="3">
        <v>23710.17</v>
      </c>
      <c r="D1049" s="3">
        <v>776.88</v>
      </c>
      <c r="E1049" s="3">
        <v>150000</v>
      </c>
      <c r="F1049" s="5">
        <v>0</v>
      </c>
    </row>
    <row r="1050" spans="1:6" ht="15" customHeight="1" x14ac:dyDescent="0.25">
      <c r="A1050" s="2" t="s">
        <v>875</v>
      </c>
      <c r="B1050" s="2" t="s">
        <v>876</v>
      </c>
      <c r="C1050" s="3">
        <v>6407.5</v>
      </c>
      <c r="D1050" s="3">
        <v>3617.5</v>
      </c>
      <c r="E1050" s="3">
        <v>100000</v>
      </c>
      <c r="F1050" s="5">
        <v>0</v>
      </c>
    </row>
    <row r="1051" spans="1:6" ht="15" customHeight="1" x14ac:dyDescent="0.25">
      <c r="A1051" s="2" t="s">
        <v>877</v>
      </c>
      <c r="B1051" s="2" t="s">
        <v>878</v>
      </c>
      <c r="C1051" s="3">
        <v>0</v>
      </c>
      <c r="D1051" s="3">
        <v>0</v>
      </c>
      <c r="E1051" s="3">
        <v>0</v>
      </c>
      <c r="F1051" s="5">
        <v>0</v>
      </c>
    </row>
    <row r="1052" spans="1:6" ht="15" customHeight="1" x14ac:dyDescent="0.25">
      <c r="A1052" s="2" t="s">
        <v>879</v>
      </c>
      <c r="B1052" s="2" t="s">
        <v>880</v>
      </c>
      <c r="C1052" s="3">
        <v>0</v>
      </c>
      <c r="D1052" s="3">
        <v>0</v>
      </c>
      <c r="E1052" s="3">
        <v>0</v>
      </c>
      <c r="F1052" s="5">
        <v>0</v>
      </c>
    </row>
    <row r="1053" spans="1:6" ht="15" customHeight="1" x14ac:dyDescent="0.25">
      <c r="A1053" s="1" t="s">
        <v>881</v>
      </c>
      <c r="B1053" s="1" t="s">
        <v>2</v>
      </c>
      <c r="C1053" s="4">
        <v>274141.56</v>
      </c>
      <c r="D1053" s="4">
        <v>83598.78</v>
      </c>
      <c r="E1053" s="6">
        <f>SUM(E1016:E1052)</f>
        <v>2900000</v>
      </c>
      <c r="F1053" s="6">
        <f>SUM(F1016:F1052)</f>
        <v>0</v>
      </c>
    </row>
    <row r="1054" spans="1:6" x14ac:dyDescent="0.25">
      <c r="A1054" s="1" t="s">
        <v>2</v>
      </c>
      <c r="B1054" s="1" t="s">
        <v>2</v>
      </c>
      <c r="C1054" s="1" t="s">
        <v>2</v>
      </c>
      <c r="D1054" s="1" t="s">
        <v>2</v>
      </c>
      <c r="E1054" s="1" t="s">
        <v>2</v>
      </c>
      <c r="F1054" s="1" t="s">
        <v>2</v>
      </c>
    </row>
    <row r="1055" spans="1:6" x14ac:dyDescent="0.25">
      <c r="A1055" s="1" t="s">
        <v>882</v>
      </c>
      <c r="B1055" s="1" t="s">
        <v>2</v>
      </c>
    </row>
    <row r="1056" spans="1:6" ht="15" customHeight="1" x14ac:dyDescent="0.25">
      <c r="A1056" s="2" t="s">
        <v>883</v>
      </c>
      <c r="B1056" s="2" t="s">
        <v>108</v>
      </c>
      <c r="C1056" s="3">
        <v>27213.47</v>
      </c>
      <c r="D1056" s="3">
        <v>5416.25</v>
      </c>
      <c r="E1056" s="3">
        <v>9328.48</v>
      </c>
      <c r="F1056" s="5">
        <v>0</v>
      </c>
    </row>
    <row r="1057" spans="1:6" ht="15" customHeight="1" x14ac:dyDescent="0.25">
      <c r="A1057" s="2" t="s">
        <v>884</v>
      </c>
      <c r="B1057" s="2" t="s">
        <v>29</v>
      </c>
      <c r="C1057" s="3">
        <v>7088.95</v>
      </c>
      <c r="D1057" s="3">
        <v>1650.28</v>
      </c>
      <c r="E1057" s="3">
        <v>2920.61</v>
      </c>
      <c r="F1057" s="5">
        <v>0</v>
      </c>
    </row>
    <row r="1058" spans="1:6" ht="15" customHeight="1" x14ac:dyDescent="0.25">
      <c r="A1058" s="2" t="s">
        <v>885</v>
      </c>
      <c r="B1058" s="2" t="s">
        <v>128</v>
      </c>
      <c r="C1058" s="3">
        <v>669.4</v>
      </c>
      <c r="D1058" s="3">
        <v>92.7</v>
      </c>
      <c r="E1058" s="3">
        <v>236.71</v>
      </c>
      <c r="F1058" s="5">
        <v>0</v>
      </c>
    </row>
    <row r="1059" spans="1:6" ht="15" customHeight="1" x14ac:dyDescent="0.25">
      <c r="A1059" s="2" t="s">
        <v>886</v>
      </c>
      <c r="B1059" s="2" t="s">
        <v>33</v>
      </c>
      <c r="C1059" s="3">
        <v>3785.32</v>
      </c>
      <c r="D1059" s="3">
        <v>601.05999999999995</v>
      </c>
      <c r="E1059" s="3">
        <v>1097.77</v>
      </c>
      <c r="F1059" s="5">
        <v>0</v>
      </c>
    </row>
    <row r="1060" spans="1:6" ht="15" customHeight="1" x14ac:dyDescent="0.25">
      <c r="A1060" s="2" t="s">
        <v>887</v>
      </c>
      <c r="B1060" s="2" t="s">
        <v>11</v>
      </c>
      <c r="C1060" s="3">
        <v>2051.6999999999998</v>
      </c>
      <c r="D1060" s="3">
        <v>403.24</v>
      </c>
      <c r="E1060" s="3">
        <v>713.63</v>
      </c>
      <c r="F1060" s="5">
        <v>0</v>
      </c>
    </row>
    <row r="1061" spans="1:6" ht="15" customHeight="1" x14ac:dyDescent="0.25">
      <c r="A1061" s="2" t="s">
        <v>888</v>
      </c>
      <c r="B1061" s="2" t="s">
        <v>13</v>
      </c>
      <c r="C1061" s="3">
        <v>39.94</v>
      </c>
      <c r="D1061" s="3">
        <v>11.76</v>
      </c>
      <c r="E1061" s="3">
        <v>13.71</v>
      </c>
      <c r="F1061" s="5">
        <v>0</v>
      </c>
    </row>
    <row r="1062" spans="1:6" ht="15" customHeight="1" x14ac:dyDescent="0.25">
      <c r="A1062" s="2" t="s">
        <v>889</v>
      </c>
      <c r="B1062" s="2" t="s">
        <v>890</v>
      </c>
      <c r="C1062" s="3">
        <v>39.54</v>
      </c>
      <c r="D1062" s="3">
        <v>8.6</v>
      </c>
      <c r="E1062" s="3">
        <v>34.729999999999997</v>
      </c>
      <c r="F1062" s="5">
        <v>0</v>
      </c>
    </row>
    <row r="1063" spans="1:6" ht="15" customHeight="1" x14ac:dyDescent="0.25">
      <c r="A1063" s="2" t="s">
        <v>891</v>
      </c>
      <c r="B1063" s="2" t="s">
        <v>39</v>
      </c>
      <c r="C1063" s="3">
        <v>4199.01</v>
      </c>
      <c r="D1063" s="3">
        <v>1381.48</v>
      </c>
      <c r="E1063" s="3">
        <v>5000</v>
      </c>
      <c r="F1063" s="5">
        <v>0</v>
      </c>
    </row>
    <row r="1064" spans="1:6" ht="15" customHeight="1" x14ac:dyDescent="0.25">
      <c r="A1064" s="1" t="s">
        <v>892</v>
      </c>
      <c r="B1064" s="1" t="s">
        <v>2</v>
      </c>
      <c r="C1064" s="4">
        <v>45087.33</v>
      </c>
      <c r="D1064" s="4">
        <v>9565.3700000000008</v>
      </c>
      <c r="E1064" s="6">
        <f>SUM(E1056:E1063)</f>
        <v>19345.64</v>
      </c>
      <c r="F1064" s="6">
        <f>SUM(F1056:F1063)</f>
        <v>0</v>
      </c>
    </row>
    <row r="1065" spans="1:6" x14ac:dyDescent="0.25">
      <c r="A1065" s="1" t="s">
        <v>2</v>
      </c>
      <c r="B1065" s="1" t="s">
        <v>2</v>
      </c>
      <c r="C1065" s="1" t="s">
        <v>2</v>
      </c>
      <c r="D1065" s="1" t="s">
        <v>2</v>
      </c>
      <c r="E1065" s="1" t="s">
        <v>2</v>
      </c>
      <c r="F1065" s="1" t="s">
        <v>2</v>
      </c>
    </row>
    <row r="1066" spans="1:6" ht="15" customHeight="1" x14ac:dyDescent="0.25">
      <c r="A1066" s="1" t="s">
        <v>893</v>
      </c>
      <c r="B1066" s="1" t="s">
        <v>2</v>
      </c>
    </row>
    <row r="1067" spans="1:6" ht="15" customHeight="1" x14ac:dyDescent="0.25">
      <c r="A1067" s="2" t="s">
        <v>894</v>
      </c>
      <c r="B1067" s="2" t="s">
        <v>108</v>
      </c>
      <c r="C1067" s="3">
        <v>89336.55</v>
      </c>
      <c r="D1067" s="3">
        <v>32144.57</v>
      </c>
      <c r="E1067" s="3">
        <v>197189.49</v>
      </c>
      <c r="F1067" s="5">
        <v>0</v>
      </c>
    </row>
    <row r="1068" spans="1:6" ht="15" customHeight="1" x14ac:dyDescent="0.25">
      <c r="A1068" s="2" t="s">
        <v>895</v>
      </c>
      <c r="B1068" s="2" t="s">
        <v>652</v>
      </c>
      <c r="C1068" s="3">
        <v>27206.35</v>
      </c>
      <c r="D1068" s="3">
        <v>13591.92</v>
      </c>
      <c r="E1068" s="3">
        <v>64513.4</v>
      </c>
      <c r="F1068" s="5">
        <v>0</v>
      </c>
    </row>
    <row r="1069" spans="1:6" ht="15" customHeight="1" x14ac:dyDescent="0.25">
      <c r="A1069" s="2" t="s">
        <v>896</v>
      </c>
      <c r="B1069" s="2" t="s">
        <v>29</v>
      </c>
      <c r="C1069" s="3">
        <v>21684.52</v>
      </c>
      <c r="D1069" s="3">
        <v>8630.83</v>
      </c>
      <c r="E1069" s="3">
        <v>43420.65</v>
      </c>
      <c r="F1069" s="5">
        <v>0</v>
      </c>
    </row>
    <row r="1070" spans="1:6" ht="15" customHeight="1" x14ac:dyDescent="0.25">
      <c r="A1070" s="2" t="s">
        <v>897</v>
      </c>
      <c r="B1070" s="2" t="s">
        <v>128</v>
      </c>
      <c r="C1070" s="3">
        <v>772.19</v>
      </c>
      <c r="D1070" s="3">
        <v>168.72</v>
      </c>
      <c r="E1070" s="3">
        <v>2153.84</v>
      </c>
      <c r="F1070" s="5">
        <v>0</v>
      </c>
    </row>
    <row r="1071" spans="1:6" ht="15" customHeight="1" x14ac:dyDescent="0.25">
      <c r="A1071" s="2" t="s">
        <v>898</v>
      </c>
      <c r="B1071" s="2" t="s">
        <v>33</v>
      </c>
      <c r="C1071" s="3">
        <v>15828.95</v>
      </c>
      <c r="D1071" s="3">
        <v>5245.07</v>
      </c>
      <c r="E1071" s="3">
        <v>32785.800000000003</v>
      </c>
      <c r="F1071" s="5">
        <v>0</v>
      </c>
    </row>
    <row r="1072" spans="1:6" ht="15" customHeight="1" x14ac:dyDescent="0.25">
      <c r="A1072" s="2" t="s">
        <v>899</v>
      </c>
      <c r="B1072" s="2" t="s">
        <v>11</v>
      </c>
      <c r="C1072" s="3">
        <v>8846.89</v>
      </c>
      <c r="D1072" s="3">
        <v>3472.37</v>
      </c>
      <c r="E1072" s="3">
        <v>20020.27</v>
      </c>
      <c r="F1072" s="5">
        <v>0</v>
      </c>
    </row>
    <row r="1073" spans="1:6" ht="15" customHeight="1" x14ac:dyDescent="0.25">
      <c r="A1073" s="2" t="s">
        <v>900</v>
      </c>
      <c r="B1073" s="2" t="s">
        <v>13</v>
      </c>
      <c r="C1073" s="3">
        <v>171</v>
      </c>
      <c r="D1073" s="3">
        <v>92.6</v>
      </c>
      <c r="E1073" s="3">
        <v>384.7</v>
      </c>
      <c r="F1073" s="5">
        <v>0</v>
      </c>
    </row>
    <row r="1074" spans="1:6" ht="15" customHeight="1" x14ac:dyDescent="0.25">
      <c r="A1074" s="2" t="s">
        <v>901</v>
      </c>
      <c r="B1074" s="2" t="s">
        <v>286</v>
      </c>
      <c r="C1074" s="3">
        <v>192</v>
      </c>
      <c r="D1074" s="3">
        <v>0</v>
      </c>
      <c r="E1074" s="3">
        <v>440</v>
      </c>
      <c r="F1074" s="5">
        <v>0</v>
      </c>
    </row>
    <row r="1075" spans="1:6" ht="15" customHeight="1" x14ac:dyDescent="0.25">
      <c r="A1075" s="2" t="s">
        <v>902</v>
      </c>
      <c r="B1075" s="2" t="s">
        <v>37</v>
      </c>
      <c r="C1075" s="3">
        <v>1319.24</v>
      </c>
      <c r="D1075" s="3">
        <v>159.55000000000001</v>
      </c>
      <c r="E1075" s="3">
        <v>1300</v>
      </c>
      <c r="F1075" s="5">
        <v>0</v>
      </c>
    </row>
    <row r="1076" spans="1:6" ht="15" customHeight="1" x14ac:dyDescent="0.25">
      <c r="A1076" s="2" t="s">
        <v>903</v>
      </c>
      <c r="B1076" s="2" t="s">
        <v>39</v>
      </c>
      <c r="C1076" s="3">
        <v>0</v>
      </c>
      <c r="D1076" s="3">
        <v>0</v>
      </c>
      <c r="E1076" s="3">
        <v>0</v>
      </c>
      <c r="F1076" s="5">
        <v>0</v>
      </c>
    </row>
    <row r="1077" spans="1:6" ht="15" customHeight="1" x14ac:dyDescent="0.25">
      <c r="A1077" s="2" t="s">
        <v>904</v>
      </c>
      <c r="B1077" s="2" t="s">
        <v>905</v>
      </c>
      <c r="C1077" s="3">
        <v>240.62</v>
      </c>
      <c r="D1077" s="3">
        <v>0</v>
      </c>
      <c r="E1077" s="3">
        <v>1000</v>
      </c>
      <c r="F1077" s="5">
        <v>0</v>
      </c>
    </row>
    <row r="1078" spans="1:6" ht="15" customHeight="1" x14ac:dyDescent="0.25">
      <c r="A1078" s="2" t="s">
        <v>906</v>
      </c>
      <c r="B1078" s="2" t="s">
        <v>907</v>
      </c>
      <c r="C1078" s="3">
        <v>135220.87</v>
      </c>
      <c r="D1078" s="3">
        <v>115036.77</v>
      </c>
      <c r="E1078" s="3">
        <v>115036.77</v>
      </c>
      <c r="F1078" s="5">
        <v>0</v>
      </c>
    </row>
    <row r="1079" spans="1:6" ht="15" customHeight="1" x14ac:dyDescent="0.25">
      <c r="A1079" s="2" t="s">
        <v>908</v>
      </c>
      <c r="B1079" s="2" t="s">
        <v>43</v>
      </c>
      <c r="C1079" s="3">
        <v>86909.759999999995</v>
      </c>
      <c r="D1079" s="3">
        <v>57524.02</v>
      </c>
      <c r="E1079" s="3">
        <v>57524.02</v>
      </c>
      <c r="F1079" s="5">
        <v>0</v>
      </c>
    </row>
    <row r="1080" spans="1:6" x14ac:dyDescent="0.25">
      <c r="A1080" s="2" t="s">
        <v>909</v>
      </c>
      <c r="B1080" s="2" t="s">
        <v>15</v>
      </c>
      <c r="C1080" s="3">
        <v>6524.25</v>
      </c>
      <c r="D1080" s="3">
        <v>8419.81</v>
      </c>
      <c r="E1080" s="3">
        <v>8419.81</v>
      </c>
      <c r="F1080" s="5">
        <v>0</v>
      </c>
    </row>
    <row r="1081" spans="1:6" ht="15" customHeight="1" x14ac:dyDescent="0.25">
      <c r="A1081" s="2" t="s">
        <v>910</v>
      </c>
      <c r="B1081" s="2" t="s">
        <v>95</v>
      </c>
      <c r="C1081" s="3">
        <v>3168.97</v>
      </c>
      <c r="D1081" s="3">
        <v>1999</v>
      </c>
      <c r="E1081" s="3">
        <v>50000</v>
      </c>
      <c r="F1081" s="5">
        <v>0</v>
      </c>
    </row>
    <row r="1082" spans="1:6" ht="15" customHeight="1" x14ac:dyDescent="0.25">
      <c r="A1082" s="2" t="s">
        <v>911</v>
      </c>
      <c r="B1082" s="2" t="s">
        <v>912</v>
      </c>
      <c r="C1082" s="3">
        <v>14603.3</v>
      </c>
      <c r="D1082" s="3">
        <v>21906.25</v>
      </c>
      <c r="E1082" s="3">
        <v>10000</v>
      </c>
      <c r="F1082" s="5">
        <v>0</v>
      </c>
    </row>
    <row r="1083" spans="1:6" ht="15" customHeight="1" x14ac:dyDescent="0.25">
      <c r="A1083" s="2" t="s">
        <v>913</v>
      </c>
      <c r="B1083" s="2" t="s">
        <v>99</v>
      </c>
      <c r="C1083" s="3">
        <v>5367.47</v>
      </c>
      <c r="D1083" s="3">
        <v>1570.53</v>
      </c>
      <c r="E1083" s="3">
        <v>4200</v>
      </c>
      <c r="F1083" s="5">
        <v>0</v>
      </c>
    </row>
    <row r="1084" spans="1:6" ht="15" customHeight="1" x14ac:dyDescent="0.25">
      <c r="A1084" s="2" t="s">
        <v>914</v>
      </c>
      <c r="B1084" s="2" t="s">
        <v>17</v>
      </c>
      <c r="C1084" s="3">
        <v>0</v>
      </c>
      <c r="D1084" s="3">
        <v>0</v>
      </c>
      <c r="E1084" s="3">
        <v>500</v>
      </c>
      <c r="F1084" s="5">
        <v>0</v>
      </c>
    </row>
    <row r="1085" spans="1:6" ht="15" customHeight="1" x14ac:dyDescent="0.25">
      <c r="A1085" s="2" t="s">
        <v>915</v>
      </c>
      <c r="B1085" s="2" t="s">
        <v>144</v>
      </c>
      <c r="C1085" s="3">
        <v>602.91</v>
      </c>
      <c r="D1085" s="3">
        <v>0</v>
      </c>
      <c r="E1085" s="3">
        <v>1000</v>
      </c>
      <c r="F1085" s="5">
        <v>0</v>
      </c>
    </row>
    <row r="1086" spans="1:6" ht="15" customHeight="1" x14ac:dyDescent="0.25">
      <c r="A1086" s="2" t="s">
        <v>916</v>
      </c>
      <c r="B1086" s="2" t="s">
        <v>917</v>
      </c>
      <c r="C1086" s="3">
        <v>1476.96</v>
      </c>
      <c r="D1086" s="3">
        <v>615.75</v>
      </c>
      <c r="E1086" s="3">
        <v>1500</v>
      </c>
      <c r="F1086" s="5">
        <v>0</v>
      </c>
    </row>
    <row r="1087" spans="1:6" ht="15" customHeight="1" x14ac:dyDescent="0.25">
      <c r="A1087" s="2" t="s">
        <v>918</v>
      </c>
      <c r="B1087" s="2" t="s">
        <v>62</v>
      </c>
      <c r="C1087" s="3">
        <v>621.24</v>
      </c>
      <c r="D1087" s="3">
        <v>237.51</v>
      </c>
      <c r="E1087" s="3">
        <v>900</v>
      </c>
      <c r="F1087" s="5">
        <v>0</v>
      </c>
    </row>
    <row r="1088" spans="1:6" ht="15" customHeight="1" x14ac:dyDescent="0.25">
      <c r="A1088" s="2" t="s">
        <v>919</v>
      </c>
      <c r="B1088" s="2" t="s">
        <v>64</v>
      </c>
      <c r="C1088" s="3">
        <v>398.71</v>
      </c>
      <c r="D1088" s="3">
        <v>6</v>
      </c>
      <c r="E1088" s="3">
        <v>1000</v>
      </c>
      <c r="F1088" s="5">
        <v>0</v>
      </c>
    </row>
    <row r="1089" spans="1:6" ht="15" customHeight="1" x14ac:dyDescent="0.25">
      <c r="A1089" s="2" t="s">
        <v>920</v>
      </c>
      <c r="B1089" s="2" t="s">
        <v>66</v>
      </c>
      <c r="C1089" s="3">
        <v>100</v>
      </c>
      <c r="D1089" s="3">
        <v>0</v>
      </c>
      <c r="E1089" s="3">
        <v>2500</v>
      </c>
      <c r="F1089" s="5">
        <v>0</v>
      </c>
    </row>
    <row r="1090" spans="1:6" ht="15" customHeight="1" x14ac:dyDescent="0.25">
      <c r="A1090" s="1" t="s">
        <v>921</v>
      </c>
      <c r="B1090" s="1" t="s">
        <v>2</v>
      </c>
      <c r="C1090" s="4">
        <v>420592.75</v>
      </c>
      <c r="D1090" s="4">
        <v>270821.27</v>
      </c>
      <c r="E1090" s="6">
        <f>SUM(E1067:E1089)</f>
        <v>615788.75000000012</v>
      </c>
      <c r="F1090" s="6">
        <f>SUM(F1067:F1089)</f>
        <v>0</v>
      </c>
    </row>
    <row r="1091" spans="1:6" x14ac:dyDescent="0.25">
      <c r="A1091" s="1" t="s">
        <v>2</v>
      </c>
      <c r="B1091" s="1" t="s">
        <v>2</v>
      </c>
      <c r="C1091" s="1" t="s">
        <v>2</v>
      </c>
      <c r="D1091" s="1" t="s">
        <v>2</v>
      </c>
      <c r="E1091" s="1" t="s">
        <v>2</v>
      </c>
      <c r="F1091" s="1" t="s">
        <v>2</v>
      </c>
    </row>
    <row r="1092" spans="1:6" ht="15" customHeight="1" x14ac:dyDescent="0.25">
      <c r="A1092" s="1" t="s">
        <v>922</v>
      </c>
      <c r="B1092" s="1" t="s">
        <v>2</v>
      </c>
    </row>
    <row r="1093" spans="1:6" ht="15" customHeight="1" x14ac:dyDescent="0.25">
      <c r="A1093" s="2" t="s">
        <v>923</v>
      </c>
      <c r="B1093" s="2" t="s">
        <v>924</v>
      </c>
      <c r="C1093" s="3">
        <v>3607.13</v>
      </c>
      <c r="D1093" s="3">
        <v>1121.42</v>
      </c>
      <c r="E1093" s="3">
        <v>4822.95</v>
      </c>
      <c r="F1093" s="5">
        <v>0</v>
      </c>
    </row>
    <row r="1094" spans="1:6" ht="15" customHeight="1" x14ac:dyDescent="0.25">
      <c r="A1094" s="2" t="s">
        <v>925</v>
      </c>
      <c r="B1094" s="2" t="s">
        <v>108</v>
      </c>
      <c r="C1094" s="3">
        <v>172111.49</v>
      </c>
      <c r="D1094" s="3">
        <v>65909.69</v>
      </c>
      <c r="E1094" s="3">
        <v>159872.13</v>
      </c>
      <c r="F1094" s="5">
        <v>0</v>
      </c>
    </row>
    <row r="1095" spans="1:6" ht="15" customHeight="1" x14ac:dyDescent="0.25">
      <c r="A1095" s="2" t="s">
        <v>926</v>
      </c>
      <c r="B1095" s="2" t="s">
        <v>786</v>
      </c>
      <c r="C1095" s="3">
        <v>726.88</v>
      </c>
      <c r="D1095" s="3">
        <v>583.86</v>
      </c>
      <c r="E1095" s="3">
        <v>0</v>
      </c>
      <c r="F1095" s="5">
        <v>0</v>
      </c>
    </row>
    <row r="1096" spans="1:6" ht="15" customHeight="1" x14ac:dyDescent="0.25">
      <c r="A1096" s="2" t="s">
        <v>927</v>
      </c>
      <c r="B1096" s="2" t="s">
        <v>29</v>
      </c>
      <c r="C1096" s="3">
        <v>41608.400000000001</v>
      </c>
      <c r="D1096" s="3">
        <v>15739.1</v>
      </c>
      <c r="E1096" s="3">
        <v>40783.11</v>
      </c>
      <c r="F1096" s="5">
        <v>0</v>
      </c>
    </row>
    <row r="1097" spans="1:6" ht="15" customHeight="1" x14ac:dyDescent="0.25">
      <c r="A1097" s="2" t="s">
        <v>928</v>
      </c>
      <c r="B1097" s="2" t="s">
        <v>128</v>
      </c>
      <c r="C1097" s="3">
        <v>4223.33</v>
      </c>
      <c r="D1097" s="3">
        <v>1138.8</v>
      </c>
      <c r="E1097" s="3">
        <v>4300.2700000000004</v>
      </c>
      <c r="F1097" s="5">
        <v>0</v>
      </c>
    </row>
    <row r="1098" spans="1:6" ht="15" customHeight="1" x14ac:dyDescent="0.25">
      <c r="A1098" s="2" t="s">
        <v>929</v>
      </c>
      <c r="B1098" s="2" t="s">
        <v>33</v>
      </c>
      <c r="C1098" s="3">
        <v>23441.599999999999</v>
      </c>
      <c r="D1098" s="3">
        <v>7652.94</v>
      </c>
      <c r="E1098" s="3">
        <v>19159.009999999998</v>
      </c>
      <c r="F1098" s="5">
        <v>0</v>
      </c>
    </row>
    <row r="1099" spans="1:6" ht="15" customHeight="1" x14ac:dyDescent="0.25">
      <c r="A1099" s="2" t="s">
        <v>930</v>
      </c>
      <c r="B1099" s="2" t="s">
        <v>11</v>
      </c>
      <c r="C1099" s="3">
        <v>13290.8</v>
      </c>
      <c r="D1099" s="3">
        <v>5067.71</v>
      </c>
      <c r="E1099" s="3">
        <v>12599.17</v>
      </c>
      <c r="F1099" s="5">
        <v>0</v>
      </c>
    </row>
    <row r="1100" spans="1:6" ht="15" customHeight="1" x14ac:dyDescent="0.25">
      <c r="A1100" s="2" t="s">
        <v>931</v>
      </c>
      <c r="B1100" s="2" t="s">
        <v>85</v>
      </c>
      <c r="C1100" s="3">
        <v>2150.1799999999998</v>
      </c>
      <c r="D1100" s="3">
        <v>2715.34</v>
      </c>
      <c r="E1100" s="3">
        <v>2142</v>
      </c>
      <c r="F1100" s="5">
        <v>0</v>
      </c>
    </row>
    <row r="1101" spans="1:6" ht="15" customHeight="1" x14ac:dyDescent="0.25">
      <c r="A1101" s="2" t="s">
        <v>932</v>
      </c>
      <c r="B1101" s="2" t="s">
        <v>577</v>
      </c>
      <c r="C1101" s="3">
        <v>14.45</v>
      </c>
      <c r="D1101" s="3">
        <v>10.91</v>
      </c>
      <c r="E1101" s="3">
        <v>0</v>
      </c>
      <c r="F1101" s="5">
        <v>0</v>
      </c>
    </row>
    <row r="1102" spans="1:6" ht="15" customHeight="1" x14ac:dyDescent="0.25">
      <c r="A1102" s="2" t="s">
        <v>933</v>
      </c>
      <c r="B1102" s="2" t="s">
        <v>579</v>
      </c>
      <c r="C1102" s="3">
        <v>95.27</v>
      </c>
      <c r="D1102" s="3">
        <v>69.03</v>
      </c>
      <c r="E1102" s="3">
        <v>0</v>
      </c>
      <c r="F1102" s="5">
        <v>0</v>
      </c>
    </row>
    <row r="1103" spans="1:6" ht="15" customHeight="1" x14ac:dyDescent="0.25">
      <c r="A1103" s="2" t="s">
        <v>934</v>
      </c>
      <c r="B1103" s="2" t="s">
        <v>581</v>
      </c>
      <c r="C1103" s="3">
        <v>55.21</v>
      </c>
      <c r="D1103" s="3">
        <v>44.12</v>
      </c>
      <c r="E1103" s="3">
        <v>0</v>
      </c>
      <c r="F1103" s="5">
        <v>0</v>
      </c>
    </row>
    <row r="1104" spans="1:6" ht="15" customHeight="1" x14ac:dyDescent="0.25">
      <c r="A1104" s="2" t="s">
        <v>935</v>
      </c>
      <c r="B1104" s="2" t="s">
        <v>13</v>
      </c>
      <c r="C1104" s="3">
        <v>258.81</v>
      </c>
      <c r="D1104" s="3">
        <v>146.59</v>
      </c>
      <c r="E1104" s="3">
        <v>242.1</v>
      </c>
      <c r="F1104" s="5">
        <v>0</v>
      </c>
    </row>
    <row r="1105" spans="1:6" ht="15" customHeight="1" x14ac:dyDescent="0.25">
      <c r="A1105" s="2" t="s">
        <v>936</v>
      </c>
      <c r="B1105" s="2" t="s">
        <v>458</v>
      </c>
      <c r="C1105" s="3">
        <v>602.62</v>
      </c>
      <c r="D1105" s="3">
        <v>147.47999999999999</v>
      </c>
      <c r="E1105" s="3">
        <v>595.20000000000005</v>
      </c>
      <c r="F1105" s="5">
        <v>0</v>
      </c>
    </row>
    <row r="1106" spans="1:6" ht="15" customHeight="1" x14ac:dyDescent="0.25">
      <c r="A1106" s="2" t="s">
        <v>937</v>
      </c>
      <c r="B1106" s="2" t="s">
        <v>585</v>
      </c>
      <c r="C1106" s="3">
        <v>0</v>
      </c>
      <c r="D1106" s="3">
        <v>0</v>
      </c>
      <c r="E1106" s="3">
        <v>0</v>
      </c>
      <c r="F1106" s="5">
        <v>0</v>
      </c>
    </row>
    <row r="1107" spans="1:6" ht="15" customHeight="1" x14ac:dyDescent="0.25">
      <c r="A1107" s="2" t="s">
        <v>938</v>
      </c>
      <c r="B1107" s="2" t="s">
        <v>39</v>
      </c>
      <c r="C1107" s="3">
        <v>19736.37</v>
      </c>
      <c r="D1107" s="3">
        <v>5710.77</v>
      </c>
      <c r="E1107" s="3">
        <v>50000</v>
      </c>
      <c r="F1107" s="5">
        <v>0</v>
      </c>
    </row>
    <row r="1108" spans="1:6" ht="15" customHeight="1" x14ac:dyDescent="0.25">
      <c r="A1108" s="2" t="s">
        <v>939</v>
      </c>
      <c r="B1108" s="2" t="s">
        <v>940</v>
      </c>
      <c r="C1108" s="3">
        <v>0</v>
      </c>
      <c r="D1108" s="3">
        <v>2200</v>
      </c>
      <c r="E1108" s="3">
        <v>250</v>
      </c>
      <c r="F1108" s="5">
        <v>0</v>
      </c>
    </row>
    <row r="1109" spans="1:6" ht="15" customHeight="1" x14ac:dyDescent="0.25">
      <c r="A1109" s="2" t="s">
        <v>941</v>
      </c>
      <c r="B1109" s="2" t="s">
        <v>942</v>
      </c>
      <c r="C1109" s="3">
        <v>5146.8500000000004</v>
      </c>
      <c r="D1109" s="3">
        <v>412.5</v>
      </c>
      <c r="E1109" s="3">
        <v>0</v>
      </c>
      <c r="F1109" s="5">
        <v>0</v>
      </c>
    </row>
    <row r="1110" spans="1:6" ht="15" customHeight="1" x14ac:dyDescent="0.25">
      <c r="A1110" s="2" t="s">
        <v>943</v>
      </c>
      <c r="B1110" s="2" t="s">
        <v>944</v>
      </c>
      <c r="C1110" s="3">
        <v>1056.49</v>
      </c>
      <c r="D1110" s="3">
        <v>320.27</v>
      </c>
      <c r="E1110" s="3">
        <v>1250</v>
      </c>
      <c r="F1110" s="5">
        <v>0</v>
      </c>
    </row>
    <row r="1111" spans="1:6" ht="15" customHeight="1" x14ac:dyDescent="0.25">
      <c r="A1111" s="2" t="s">
        <v>945</v>
      </c>
      <c r="B1111" s="2" t="s">
        <v>17</v>
      </c>
      <c r="C1111" s="3">
        <v>0</v>
      </c>
      <c r="D1111" s="3">
        <v>0</v>
      </c>
      <c r="E1111" s="3">
        <v>0</v>
      </c>
      <c r="F1111" s="5">
        <v>0</v>
      </c>
    </row>
    <row r="1112" spans="1:6" ht="15" customHeight="1" x14ac:dyDescent="0.25">
      <c r="A1112" s="2" t="s">
        <v>946</v>
      </c>
      <c r="B1112" s="2" t="s">
        <v>947</v>
      </c>
      <c r="C1112" s="3">
        <v>400.68</v>
      </c>
      <c r="D1112" s="3">
        <v>0</v>
      </c>
      <c r="E1112" s="3">
        <v>0</v>
      </c>
      <c r="F1112" s="5">
        <v>0</v>
      </c>
    </row>
    <row r="1113" spans="1:6" ht="15" customHeight="1" x14ac:dyDescent="0.25">
      <c r="A1113" s="2" t="s">
        <v>948</v>
      </c>
      <c r="B1113" s="2" t="s">
        <v>949</v>
      </c>
      <c r="C1113" s="3">
        <v>0</v>
      </c>
      <c r="D1113" s="3">
        <v>0</v>
      </c>
      <c r="E1113" s="3">
        <v>40000</v>
      </c>
      <c r="F1113" s="5">
        <v>0</v>
      </c>
    </row>
    <row r="1114" spans="1:6" ht="15" customHeight="1" x14ac:dyDescent="0.25">
      <c r="A1114" s="2" t="s">
        <v>950</v>
      </c>
      <c r="B1114" s="2" t="s">
        <v>951</v>
      </c>
      <c r="C1114" s="3">
        <v>7818.6</v>
      </c>
      <c r="D1114" s="3">
        <v>5805.79</v>
      </c>
      <c r="E1114" s="3">
        <v>10000</v>
      </c>
      <c r="F1114" s="5">
        <v>0</v>
      </c>
    </row>
    <row r="1115" spans="1:6" ht="15" customHeight="1" x14ac:dyDescent="0.25">
      <c r="A1115" s="2" t="s">
        <v>952</v>
      </c>
      <c r="B1115" s="2" t="s">
        <v>953</v>
      </c>
      <c r="C1115" s="3">
        <v>5614.35</v>
      </c>
      <c r="D1115" s="3">
        <v>0</v>
      </c>
      <c r="E1115" s="3">
        <v>5000</v>
      </c>
      <c r="F1115" s="5">
        <v>0</v>
      </c>
    </row>
    <row r="1116" spans="1:6" ht="15" customHeight="1" x14ac:dyDescent="0.25">
      <c r="A1116" s="2" t="s">
        <v>954</v>
      </c>
      <c r="B1116" s="2" t="s">
        <v>64</v>
      </c>
      <c r="C1116" s="3">
        <v>3234.69</v>
      </c>
      <c r="D1116" s="3">
        <v>642.41</v>
      </c>
      <c r="E1116" s="3">
        <v>5000</v>
      </c>
      <c r="F1116" s="5">
        <v>0</v>
      </c>
    </row>
    <row r="1117" spans="1:6" ht="15" customHeight="1" x14ac:dyDescent="0.25">
      <c r="A1117" s="2" t="s">
        <v>955</v>
      </c>
      <c r="B1117" s="2" t="s">
        <v>956</v>
      </c>
      <c r="C1117" s="3">
        <v>2036.68</v>
      </c>
      <c r="D1117" s="3">
        <v>0</v>
      </c>
      <c r="E1117" s="3">
        <v>300</v>
      </c>
      <c r="F1117" s="5">
        <v>0</v>
      </c>
    </row>
    <row r="1118" spans="1:6" ht="15" customHeight="1" x14ac:dyDescent="0.25">
      <c r="A1118" s="2" t="s">
        <v>957</v>
      </c>
      <c r="B1118" s="2" t="s">
        <v>624</v>
      </c>
      <c r="C1118" s="3">
        <v>3611.42</v>
      </c>
      <c r="D1118" s="3">
        <v>706.84</v>
      </c>
      <c r="E1118" s="3">
        <v>4000</v>
      </c>
      <c r="F1118" s="5">
        <v>0</v>
      </c>
    </row>
    <row r="1119" spans="1:6" ht="15" customHeight="1" x14ac:dyDescent="0.25">
      <c r="A1119" s="2" t="s">
        <v>958</v>
      </c>
      <c r="B1119" s="2" t="s">
        <v>626</v>
      </c>
      <c r="C1119" s="3">
        <v>152.5</v>
      </c>
      <c r="D1119" s="3">
        <v>0</v>
      </c>
      <c r="E1119" s="3">
        <v>0</v>
      </c>
      <c r="F1119" s="5">
        <v>0</v>
      </c>
    </row>
    <row r="1120" spans="1:6" ht="15" customHeight="1" x14ac:dyDescent="0.25">
      <c r="A1120" s="1" t="s">
        <v>959</v>
      </c>
      <c r="B1120" s="1" t="s">
        <v>2</v>
      </c>
      <c r="C1120" s="4">
        <v>310994.8</v>
      </c>
      <c r="D1120" s="4">
        <v>116145.57</v>
      </c>
      <c r="E1120" s="6">
        <f>SUM(E1093:E1119)</f>
        <v>360315.94000000006</v>
      </c>
      <c r="F1120" s="6">
        <f>SUM(F1093:F1119)</f>
        <v>0</v>
      </c>
    </row>
    <row r="1121" spans="1:6" x14ac:dyDescent="0.25">
      <c r="A1121" s="1" t="s">
        <v>2</v>
      </c>
      <c r="B1121" s="1" t="s">
        <v>2</v>
      </c>
      <c r="C1121" s="1" t="s">
        <v>2</v>
      </c>
      <c r="D1121" s="1" t="s">
        <v>2</v>
      </c>
      <c r="E1121" s="1" t="s">
        <v>2</v>
      </c>
      <c r="F1121" s="1" t="s">
        <v>2</v>
      </c>
    </row>
    <row r="1122" spans="1:6" ht="15" customHeight="1" x14ac:dyDescent="0.25">
      <c r="A1122" s="1" t="s">
        <v>960</v>
      </c>
      <c r="B1122" s="1" t="s">
        <v>2</v>
      </c>
    </row>
    <row r="1123" spans="1:6" ht="15" customHeight="1" x14ac:dyDescent="0.25">
      <c r="A1123" s="2" t="s">
        <v>961</v>
      </c>
      <c r="B1123" s="2" t="s">
        <v>962</v>
      </c>
      <c r="C1123" s="3">
        <v>176304.03</v>
      </c>
      <c r="D1123" s="3">
        <v>55655.92</v>
      </c>
      <c r="E1123" s="3">
        <v>150000</v>
      </c>
      <c r="F1123" s="5">
        <v>0</v>
      </c>
    </row>
    <row r="1124" spans="1:6" ht="15" customHeight="1" x14ac:dyDescent="0.25">
      <c r="A1124" s="1" t="s">
        <v>963</v>
      </c>
      <c r="B1124" s="1" t="s">
        <v>2</v>
      </c>
      <c r="C1124" s="4">
        <v>176304.03</v>
      </c>
      <c r="D1124" s="4">
        <v>55655.92</v>
      </c>
      <c r="E1124" s="6">
        <f>SUM(E1123)</f>
        <v>150000</v>
      </c>
      <c r="F1124" s="6">
        <f>SUM(F1123)</f>
        <v>0</v>
      </c>
    </row>
    <row r="1125" spans="1:6" x14ac:dyDescent="0.25">
      <c r="A1125" s="1" t="s">
        <v>2</v>
      </c>
      <c r="B1125" s="1" t="s">
        <v>2</v>
      </c>
      <c r="C1125" s="1" t="s">
        <v>2</v>
      </c>
      <c r="D1125" s="1" t="s">
        <v>2</v>
      </c>
      <c r="E1125" s="1" t="s">
        <v>2</v>
      </c>
      <c r="F1125" s="1" t="s">
        <v>2</v>
      </c>
    </row>
    <row r="1126" spans="1:6" ht="15" customHeight="1" x14ac:dyDescent="0.25">
      <c r="A1126" s="1" t="s">
        <v>964</v>
      </c>
      <c r="B1126" s="1" t="s">
        <v>2</v>
      </c>
    </row>
    <row r="1127" spans="1:6" ht="15" customHeight="1" x14ac:dyDescent="0.25">
      <c r="A1127" s="2" t="s">
        <v>965</v>
      </c>
      <c r="B1127" s="2" t="s">
        <v>108</v>
      </c>
      <c r="C1127" s="3">
        <v>43544.84</v>
      </c>
      <c r="D1127" s="3">
        <v>13311.18</v>
      </c>
      <c r="E1127" s="3">
        <v>39583.06</v>
      </c>
      <c r="F1127" s="5">
        <v>0</v>
      </c>
    </row>
    <row r="1128" spans="1:6" ht="15" customHeight="1" x14ac:dyDescent="0.25">
      <c r="A1128" s="2" t="s">
        <v>966</v>
      </c>
      <c r="B1128" s="2" t="s">
        <v>569</v>
      </c>
      <c r="C1128" s="3">
        <v>1870.17</v>
      </c>
      <c r="D1128" s="3">
        <v>328.44</v>
      </c>
      <c r="E1128" s="3">
        <v>1486.71</v>
      </c>
      <c r="F1128" s="5">
        <v>0</v>
      </c>
    </row>
    <row r="1129" spans="1:6" ht="15" customHeight="1" x14ac:dyDescent="0.25">
      <c r="A1129" s="2" t="s">
        <v>967</v>
      </c>
      <c r="B1129" s="2" t="s">
        <v>29</v>
      </c>
      <c r="C1129" s="3">
        <v>12333.87</v>
      </c>
      <c r="D1129" s="3">
        <v>3798.93</v>
      </c>
      <c r="E1129" s="3">
        <v>12133.03</v>
      </c>
      <c r="F1129" s="5">
        <v>0</v>
      </c>
    </row>
    <row r="1130" spans="1:6" ht="15" customHeight="1" x14ac:dyDescent="0.25">
      <c r="A1130" s="2" t="s">
        <v>968</v>
      </c>
      <c r="B1130" s="2" t="s">
        <v>128</v>
      </c>
      <c r="C1130" s="3">
        <v>1084.33</v>
      </c>
      <c r="D1130" s="3">
        <v>256.64999999999998</v>
      </c>
      <c r="E1130" s="3">
        <v>1065.2</v>
      </c>
      <c r="F1130" s="5">
        <v>0</v>
      </c>
    </row>
    <row r="1131" spans="1:6" ht="15" customHeight="1" x14ac:dyDescent="0.25">
      <c r="A1131" s="2" t="s">
        <v>969</v>
      </c>
      <c r="B1131" s="2" t="s">
        <v>33</v>
      </c>
      <c r="C1131" s="3">
        <v>5817.7</v>
      </c>
      <c r="D1131" s="3">
        <v>1514.35</v>
      </c>
      <c r="E1131" s="3">
        <v>4720.24</v>
      </c>
      <c r="F1131" s="5">
        <v>0</v>
      </c>
    </row>
    <row r="1132" spans="1:6" ht="15" customHeight="1" x14ac:dyDescent="0.25">
      <c r="A1132" s="2" t="s">
        <v>970</v>
      </c>
      <c r="B1132" s="2" t="s">
        <v>11</v>
      </c>
      <c r="C1132" s="3">
        <v>3420.49</v>
      </c>
      <c r="D1132" s="3">
        <v>1026.74</v>
      </c>
      <c r="E1132" s="3">
        <v>3141.84</v>
      </c>
      <c r="F1132" s="5">
        <v>0</v>
      </c>
    </row>
    <row r="1133" spans="1:6" ht="15" customHeight="1" x14ac:dyDescent="0.25">
      <c r="A1133" s="2" t="s">
        <v>971</v>
      </c>
      <c r="B1133" s="2" t="s">
        <v>13</v>
      </c>
      <c r="C1133" s="3">
        <v>66.540000000000006</v>
      </c>
      <c r="D1133" s="3">
        <v>28.39</v>
      </c>
      <c r="E1133" s="3">
        <v>60.37</v>
      </c>
      <c r="F1133" s="5">
        <v>0</v>
      </c>
    </row>
    <row r="1134" spans="1:6" ht="15" customHeight="1" x14ac:dyDescent="0.25">
      <c r="A1134" s="2" t="s">
        <v>972</v>
      </c>
      <c r="B1134" s="2" t="s">
        <v>973</v>
      </c>
      <c r="C1134" s="3">
        <v>168.27</v>
      </c>
      <c r="D1134" s="3">
        <v>36.43</v>
      </c>
      <c r="E1134" s="3">
        <v>147.37</v>
      </c>
      <c r="F1134" s="5">
        <v>0</v>
      </c>
    </row>
    <row r="1135" spans="1:6" ht="15" customHeight="1" x14ac:dyDescent="0.25">
      <c r="A1135" s="2" t="s">
        <v>974</v>
      </c>
      <c r="B1135" s="2" t="s">
        <v>585</v>
      </c>
      <c r="C1135" s="3">
        <v>0</v>
      </c>
      <c r="D1135" s="3">
        <v>0</v>
      </c>
      <c r="E1135" s="3">
        <v>0</v>
      </c>
      <c r="F1135" s="5">
        <v>0</v>
      </c>
    </row>
    <row r="1136" spans="1:6" ht="15" customHeight="1" x14ac:dyDescent="0.25">
      <c r="A1136" s="2" t="s">
        <v>975</v>
      </c>
      <c r="B1136" s="2" t="s">
        <v>39</v>
      </c>
      <c r="C1136" s="3">
        <v>17833.98</v>
      </c>
      <c r="D1136" s="3">
        <v>10557.95</v>
      </c>
      <c r="E1136" s="3">
        <v>40000</v>
      </c>
      <c r="F1136" s="5">
        <v>0</v>
      </c>
    </row>
    <row r="1137" spans="1:6" ht="15" customHeight="1" x14ac:dyDescent="0.25">
      <c r="A1137" s="2" t="s">
        <v>976</v>
      </c>
      <c r="B1137" s="2" t="s">
        <v>940</v>
      </c>
      <c r="C1137" s="3">
        <v>0</v>
      </c>
      <c r="D1137" s="3">
        <v>0</v>
      </c>
      <c r="E1137" s="3">
        <v>0</v>
      </c>
      <c r="F1137" s="5">
        <v>0</v>
      </c>
    </row>
    <row r="1138" spans="1:6" ht="15" customHeight="1" x14ac:dyDescent="0.25">
      <c r="A1138" s="2" t="s">
        <v>977</v>
      </c>
      <c r="B1138" s="2" t="s">
        <v>947</v>
      </c>
      <c r="C1138" s="3">
        <v>3492.49</v>
      </c>
      <c r="D1138" s="3">
        <v>613.46</v>
      </c>
      <c r="E1138" s="3">
        <v>10000</v>
      </c>
      <c r="F1138" s="5">
        <v>0</v>
      </c>
    </row>
    <row r="1139" spans="1:6" ht="15" customHeight="1" x14ac:dyDescent="0.25">
      <c r="A1139" s="1" t="s">
        <v>978</v>
      </c>
      <c r="B1139" s="1" t="s">
        <v>2</v>
      </c>
      <c r="C1139" s="4">
        <v>89632.68</v>
      </c>
      <c r="D1139" s="4">
        <v>31472.52</v>
      </c>
      <c r="E1139" s="6">
        <f>SUM(E1127:E1138)</f>
        <v>112337.81999999999</v>
      </c>
      <c r="F1139" s="6">
        <f>SUM(F1127:F1138)</f>
        <v>0</v>
      </c>
    </row>
    <row r="1140" spans="1:6" x14ac:dyDescent="0.25">
      <c r="A1140" s="1" t="s">
        <v>2</v>
      </c>
      <c r="B1140" s="1" t="s">
        <v>2</v>
      </c>
      <c r="C1140" s="1" t="s">
        <v>2</v>
      </c>
      <c r="D1140" s="1" t="s">
        <v>2</v>
      </c>
      <c r="E1140" s="1" t="s">
        <v>2</v>
      </c>
      <c r="F1140" s="1" t="s">
        <v>2</v>
      </c>
    </row>
    <row r="1141" spans="1:6" ht="15" customHeight="1" x14ac:dyDescent="0.25">
      <c r="A1141" s="1" t="s">
        <v>979</v>
      </c>
      <c r="B1141" s="1" t="s">
        <v>2</v>
      </c>
    </row>
    <row r="1142" spans="1:6" ht="15" customHeight="1" x14ac:dyDescent="0.25">
      <c r="A1142" s="2" t="s">
        <v>980</v>
      </c>
      <c r="B1142" s="2" t="s">
        <v>108</v>
      </c>
      <c r="C1142" s="3">
        <v>5887.06</v>
      </c>
      <c r="D1142" s="3">
        <v>26429.25</v>
      </c>
      <c r="E1142" s="3">
        <v>17433.32</v>
      </c>
      <c r="F1142" s="5">
        <v>0</v>
      </c>
    </row>
    <row r="1143" spans="1:6" ht="15" customHeight="1" x14ac:dyDescent="0.25">
      <c r="A1143" s="2" t="s">
        <v>981</v>
      </c>
      <c r="B1143" s="2" t="s">
        <v>786</v>
      </c>
      <c r="C1143" s="3">
        <v>9678.7900000000009</v>
      </c>
      <c r="D1143" s="3">
        <v>13999.44</v>
      </c>
      <c r="E1143" s="3">
        <v>4634.29</v>
      </c>
      <c r="F1143" s="5">
        <v>0</v>
      </c>
    </row>
    <row r="1144" spans="1:6" ht="15" customHeight="1" x14ac:dyDescent="0.25">
      <c r="A1144" s="2" t="s">
        <v>982</v>
      </c>
      <c r="B1144" s="2" t="s">
        <v>29</v>
      </c>
      <c r="C1144" s="3">
        <v>3106.03</v>
      </c>
      <c r="D1144" s="3">
        <v>9315.51</v>
      </c>
      <c r="E1144" s="3">
        <v>5821.48</v>
      </c>
      <c r="F1144" s="5">
        <v>0</v>
      </c>
    </row>
    <row r="1145" spans="1:6" ht="15" customHeight="1" x14ac:dyDescent="0.25">
      <c r="A1145" s="2" t="s">
        <v>983</v>
      </c>
      <c r="B1145" s="2" t="s">
        <v>128</v>
      </c>
      <c r="C1145" s="3">
        <v>111.98</v>
      </c>
      <c r="D1145" s="3">
        <v>554.79</v>
      </c>
      <c r="E1145" s="3">
        <v>433.97</v>
      </c>
      <c r="F1145" s="5">
        <v>0</v>
      </c>
    </row>
    <row r="1146" spans="1:6" ht="15" customHeight="1" x14ac:dyDescent="0.25">
      <c r="A1146" s="2" t="s">
        <v>984</v>
      </c>
      <c r="B1146" s="2" t="s">
        <v>33</v>
      </c>
      <c r="C1146" s="3">
        <v>812.26</v>
      </c>
      <c r="D1146" s="3">
        <v>2997.62</v>
      </c>
      <c r="E1146" s="3">
        <v>2070.41</v>
      </c>
      <c r="F1146" s="5">
        <v>0</v>
      </c>
    </row>
    <row r="1147" spans="1:6" ht="15" customHeight="1" x14ac:dyDescent="0.25">
      <c r="A1147" s="2" t="s">
        <v>985</v>
      </c>
      <c r="B1147" s="2" t="s">
        <v>11</v>
      </c>
      <c r="C1147" s="3">
        <v>444.2</v>
      </c>
      <c r="D1147" s="3">
        <v>1995.38</v>
      </c>
      <c r="E1147" s="3">
        <v>1333.65</v>
      </c>
      <c r="F1147" s="5">
        <v>0</v>
      </c>
    </row>
    <row r="1148" spans="1:6" ht="15" customHeight="1" x14ac:dyDescent="0.25">
      <c r="A1148" s="2" t="s">
        <v>986</v>
      </c>
      <c r="B1148" s="2" t="s">
        <v>13</v>
      </c>
      <c r="C1148" s="3">
        <v>23.8</v>
      </c>
      <c r="D1148" s="3">
        <v>71.569999999999993</v>
      </c>
      <c r="E1148" s="3">
        <v>32.44</v>
      </c>
      <c r="F1148" s="5">
        <v>0</v>
      </c>
    </row>
    <row r="1149" spans="1:6" ht="15" customHeight="1" x14ac:dyDescent="0.25">
      <c r="A1149" s="2" t="s">
        <v>987</v>
      </c>
      <c r="B1149" s="2" t="s">
        <v>577</v>
      </c>
      <c r="C1149" s="3">
        <v>230.56</v>
      </c>
      <c r="D1149" s="3">
        <v>248.2</v>
      </c>
      <c r="E1149" s="3">
        <v>118.36</v>
      </c>
      <c r="F1149" s="5">
        <v>0</v>
      </c>
    </row>
    <row r="1150" spans="1:6" ht="15" customHeight="1" x14ac:dyDescent="0.25">
      <c r="A1150" s="2" t="s">
        <v>988</v>
      </c>
      <c r="B1150" s="2" t="s">
        <v>579</v>
      </c>
      <c r="C1150" s="3">
        <v>1375.03</v>
      </c>
      <c r="D1150" s="3">
        <v>1593.32</v>
      </c>
      <c r="E1150" s="3">
        <v>555.73</v>
      </c>
      <c r="F1150" s="5">
        <v>0</v>
      </c>
    </row>
    <row r="1151" spans="1:6" ht="15" customHeight="1" x14ac:dyDescent="0.25">
      <c r="A1151" s="2" t="s">
        <v>989</v>
      </c>
      <c r="B1151" s="2" t="s">
        <v>581</v>
      </c>
      <c r="C1151" s="3">
        <v>733.12</v>
      </c>
      <c r="D1151" s="3">
        <v>1061.72</v>
      </c>
      <c r="E1151" s="3">
        <v>354.52</v>
      </c>
      <c r="F1151" s="5">
        <v>0</v>
      </c>
    </row>
    <row r="1152" spans="1:6" ht="15" customHeight="1" x14ac:dyDescent="0.25">
      <c r="A1152" s="2" t="s">
        <v>990</v>
      </c>
      <c r="B1152" s="2" t="s">
        <v>973</v>
      </c>
      <c r="C1152" s="3">
        <v>87.79</v>
      </c>
      <c r="D1152" s="3">
        <v>16.09</v>
      </c>
      <c r="E1152" s="3">
        <v>64.900000000000006</v>
      </c>
      <c r="F1152" s="5">
        <v>0</v>
      </c>
    </row>
    <row r="1153" spans="1:6" ht="15" customHeight="1" x14ac:dyDescent="0.25">
      <c r="A1153" s="2" t="s">
        <v>991</v>
      </c>
      <c r="B1153" s="2" t="s">
        <v>585</v>
      </c>
      <c r="C1153" s="3">
        <v>675</v>
      </c>
      <c r="D1153" s="3">
        <v>720</v>
      </c>
      <c r="E1153" s="3">
        <v>215</v>
      </c>
      <c r="F1153" s="5">
        <v>0</v>
      </c>
    </row>
    <row r="1154" spans="1:6" ht="15" customHeight="1" x14ac:dyDescent="0.25">
      <c r="A1154" s="2" t="s">
        <v>992</v>
      </c>
      <c r="B1154" s="2" t="s">
        <v>39</v>
      </c>
      <c r="C1154" s="3">
        <v>8730.52</v>
      </c>
      <c r="D1154" s="3">
        <v>8969.19</v>
      </c>
      <c r="E1154" s="3">
        <v>10000</v>
      </c>
      <c r="F1154" s="5">
        <v>0</v>
      </c>
    </row>
    <row r="1155" spans="1:6" ht="15" customHeight="1" x14ac:dyDescent="0.25">
      <c r="A1155" s="2" t="s">
        <v>993</v>
      </c>
      <c r="B1155" s="2" t="s">
        <v>64</v>
      </c>
      <c r="C1155" s="3">
        <v>0</v>
      </c>
      <c r="D1155" s="3">
        <v>0</v>
      </c>
      <c r="E1155" s="3">
        <v>0</v>
      </c>
      <c r="F1155" s="5">
        <v>0</v>
      </c>
    </row>
    <row r="1156" spans="1:6" ht="15" customHeight="1" x14ac:dyDescent="0.25">
      <c r="A1156" s="1" t="s">
        <v>994</v>
      </c>
      <c r="B1156" s="1" t="s">
        <v>2</v>
      </c>
      <c r="C1156" s="4">
        <v>31896.14</v>
      </c>
      <c r="D1156" s="4">
        <v>67972.08</v>
      </c>
      <c r="E1156" s="6">
        <f>SUM(E1142:E1155)</f>
        <v>43068.07</v>
      </c>
      <c r="F1156" s="6">
        <f>SUM(F1142:F1155)</f>
        <v>0</v>
      </c>
    </row>
    <row r="1157" spans="1:6" x14ac:dyDescent="0.25">
      <c r="A1157" s="1" t="s">
        <v>2</v>
      </c>
      <c r="B1157" s="1" t="s">
        <v>2</v>
      </c>
      <c r="C1157" s="1" t="s">
        <v>2</v>
      </c>
      <c r="D1157" s="1" t="s">
        <v>2</v>
      </c>
      <c r="E1157" s="1" t="s">
        <v>2</v>
      </c>
      <c r="F1157" s="1" t="s">
        <v>2</v>
      </c>
    </row>
    <row r="1158" spans="1:6" ht="15" customHeight="1" x14ac:dyDescent="0.25">
      <c r="A1158" s="1" t="s">
        <v>995</v>
      </c>
      <c r="B1158" s="1" t="s">
        <v>2</v>
      </c>
    </row>
    <row r="1159" spans="1:6" ht="15" customHeight="1" x14ac:dyDescent="0.25">
      <c r="A1159" s="2" t="s">
        <v>996</v>
      </c>
      <c r="B1159" s="2" t="s">
        <v>108</v>
      </c>
      <c r="C1159" s="3">
        <v>36561.97</v>
      </c>
      <c r="D1159" s="3">
        <v>13456.42</v>
      </c>
      <c r="E1159" s="3">
        <v>28562.69</v>
      </c>
      <c r="F1159" s="5">
        <v>0</v>
      </c>
    </row>
    <row r="1160" spans="1:6" ht="15" customHeight="1" x14ac:dyDescent="0.25">
      <c r="A1160" s="2" t="s">
        <v>997</v>
      </c>
      <c r="B1160" s="2" t="s">
        <v>29</v>
      </c>
      <c r="C1160" s="3">
        <v>12378.3</v>
      </c>
      <c r="D1160" s="3">
        <v>4343.3500000000004</v>
      </c>
      <c r="E1160" s="3">
        <v>10345.4</v>
      </c>
      <c r="F1160" s="5">
        <v>0</v>
      </c>
    </row>
    <row r="1161" spans="1:6" ht="15" customHeight="1" x14ac:dyDescent="0.25">
      <c r="A1161" s="2" t="s">
        <v>998</v>
      </c>
      <c r="B1161" s="2" t="s">
        <v>128</v>
      </c>
      <c r="C1161" s="3">
        <v>746.34</v>
      </c>
      <c r="D1161" s="3">
        <v>232.84</v>
      </c>
      <c r="E1161" s="3">
        <v>769.31</v>
      </c>
      <c r="F1161" s="5">
        <v>0</v>
      </c>
    </row>
    <row r="1162" spans="1:6" ht="15" customHeight="1" x14ac:dyDescent="0.25">
      <c r="A1162" s="2" t="s">
        <v>999</v>
      </c>
      <c r="B1162" s="2" t="s">
        <v>33</v>
      </c>
      <c r="C1162" s="3">
        <v>4288.28</v>
      </c>
      <c r="D1162" s="3">
        <v>1388.14</v>
      </c>
      <c r="E1162" s="3">
        <v>3036.01</v>
      </c>
      <c r="F1162" s="5">
        <v>0</v>
      </c>
    </row>
    <row r="1163" spans="1:6" ht="15" customHeight="1" x14ac:dyDescent="0.25">
      <c r="A1163" s="2" t="s">
        <v>1000</v>
      </c>
      <c r="B1163" s="2" t="s">
        <v>11</v>
      </c>
      <c r="C1163" s="3">
        <v>2745.02</v>
      </c>
      <c r="D1163" s="3">
        <v>1010.88</v>
      </c>
      <c r="E1163" s="3">
        <v>2185.0500000000002</v>
      </c>
      <c r="F1163" s="5">
        <v>0</v>
      </c>
    </row>
    <row r="1164" spans="1:6" ht="15" customHeight="1" x14ac:dyDescent="0.25">
      <c r="A1164" s="2" t="s">
        <v>1001</v>
      </c>
      <c r="B1164" s="2" t="s">
        <v>13</v>
      </c>
      <c r="C1164" s="3">
        <v>53.6</v>
      </c>
      <c r="D1164" s="3">
        <v>28.11</v>
      </c>
      <c r="E1164" s="3">
        <v>41.99</v>
      </c>
      <c r="F1164" s="5">
        <v>0</v>
      </c>
    </row>
    <row r="1165" spans="1:6" ht="15" customHeight="1" x14ac:dyDescent="0.25">
      <c r="A1165" s="2" t="s">
        <v>1002</v>
      </c>
      <c r="B1165" s="2" t="s">
        <v>973</v>
      </c>
      <c r="C1165" s="3">
        <v>98.34</v>
      </c>
      <c r="D1165" s="3">
        <v>26.44</v>
      </c>
      <c r="E1165" s="3">
        <v>106.34</v>
      </c>
      <c r="F1165" s="5">
        <v>0</v>
      </c>
    </row>
    <row r="1166" spans="1:6" ht="15" customHeight="1" x14ac:dyDescent="0.25">
      <c r="A1166" s="2" t="s">
        <v>1003</v>
      </c>
      <c r="B1166" s="2" t="s">
        <v>39</v>
      </c>
      <c r="C1166" s="3">
        <v>0</v>
      </c>
      <c r="D1166" s="3">
        <v>0</v>
      </c>
      <c r="E1166" s="3">
        <v>2500</v>
      </c>
      <c r="F1166" s="5">
        <v>0</v>
      </c>
    </row>
    <row r="1167" spans="1:6" ht="15" customHeight="1" x14ac:dyDescent="0.25">
      <c r="A1167" s="2" t="s">
        <v>1004</v>
      </c>
      <c r="B1167" s="2" t="s">
        <v>64</v>
      </c>
      <c r="C1167" s="3">
        <v>0</v>
      </c>
      <c r="D1167" s="3">
        <v>0</v>
      </c>
      <c r="E1167" s="3">
        <v>0</v>
      </c>
      <c r="F1167" s="5">
        <v>0</v>
      </c>
    </row>
    <row r="1168" spans="1:6" ht="15" customHeight="1" x14ac:dyDescent="0.25">
      <c r="A1168" s="1" t="s">
        <v>1005</v>
      </c>
      <c r="B1168" s="1" t="s">
        <v>2</v>
      </c>
      <c r="C1168" s="4">
        <v>56871.85</v>
      </c>
      <c r="D1168" s="4">
        <v>20486.18</v>
      </c>
      <c r="E1168" s="6">
        <f>SUM(E1159:E1167)</f>
        <v>47546.789999999994</v>
      </c>
      <c r="F1168" s="6">
        <f>SUM(F1159:F1167)</f>
        <v>0</v>
      </c>
    </row>
    <row r="1169" spans="1:11" x14ac:dyDescent="0.25">
      <c r="A1169" s="1" t="s">
        <v>2</v>
      </c>
      <c r="B1169" s="1" t="s">
        <v>2</v>
      </c>
      <c r="C1169" s="1" t="s">
        <v>2</v>
      </c>
      <c r="D1169" s="1" t="s">
        <v>2</v>
      </c>
      <c r="E1169" s="1" t="s">
        <v>2</v>
      </c>
      <c r="F1169" s="1" t="s">
        <v>2</v>
      </c>
    </row>
    <row r="1170" spans="1:11" ht="15" customHeight="1" x14ac:dyDescent="0.25">
      <c r="A1170" s="2" t="s">
        <v>1006</v>
      </c>
      <c r="B1170" s="2" t="s">
        <v>1007</v>
      </c>
      <c r="C1170" s="3">
        <v>0</v>
      </c>
      <c r="D1170" s="3">
        <v>0</v>
      </c>
      <c r="E1170" s="3">
        <v>0</v>
      </c>
      <c r="F1170" s="5">
        <v>0</v>
      </c>
    </row>
    <row r="1171" spans="1:11" x14ac:dyDescent="0.25">
      <c r="A1171" s="2" t="s">
        <v>1008</v>
      </c>
      <c r="B1171" s="2" t="s">
        <v>1009</v>
      </c>
      <c r="C1171" s="3">
        <v>23850.639999999999</v>
      </c>
      <c r="D1171" s="3">
        <v>0</v>
      </c>
      <c r="E1171" s="3">
        <v>0</v>
      </c>
      <c r="F1171" s="5">
        <v>0</v>
      </c>
      <c r="K1171" s="48">
        <f>G1171</f>
        <v>0</v>
      </c>
    </row>
    <row r="1172" spans="1:11" x14ac:dyDescent="0.25">
      <c r="A1172" s="2" t="s">
        <v>1010</v>
      </c>
      <c r="B1172" s="2" t="s">
        <v>1011</v>
      </c>
      <c r="C1172" s="3">
        <v>0</v>
      </c>
      <c r="D1172" s="3">
        <v>0</v>
      </c>
      <c r="E1172" s="3">
        <v>0</v>
      </c>
      <c r="F1172" s="5">
        <v>0</v>
      </c>
      <c r="K1172" s="48">
        <f t="shared" ref="K1172:K1173" si="5">G1172</f>
        <v>0</v>
      </c>
    </row>
    <row r="1173" spans="1:11" ht="15" customHeight="1" x14ac:dyDescent="0.25">
      <c r="A1173" s="2" t="s">
        <v>1012</v>
      </c>
      <c r="B1173" s="2" t="s">
        <v>1013</v>
      </c>
      <c r="C1173" s="3">
        <v>17643.03</v>
      </c>
      <c r="D1173" s="3">
        <v>0</v>
      </c>
      <c r="E1173" s="3">
        <v>0</v>
      </c>
      <c r="F1173" s="5">
        <v>0</v>
      </c>
      <c r="K1173" s="48">
        <f t="shared" si="5"/>
        <v>0</v>
      </c>
    </row>
    <row r="1174" spans="1:11" ht="15" customHeight="1" x14ac:dyDescent="0.25">
      <c r="A1174" s="2" t="s">
        <v>1014</v>
      </c>
      <c r="B1174" s="2" t="s">
        <v>1015</v>
      </c>
      <c r="C1174" s="3">
        <v>8581.11</v>
      </c>
      <c r="D1174" s="3">
        <v>0</v>
      </c>
      <c r="E1174" s="3">
        <v>0</v>
      </c>
      <c r="F1174" s="5">
        <v>0</v>
      </c>
    </row>
    <row r="1175" spans="1:11" ht="15" customHeight="1" x14ac:dyDescent="0.25">
      <c r="A1175" s="2" t="s">
        <v>1016</v>
      </c>
      <c r="B1175" s="2" t="s">
        <v>1017</v>
      </c>
      <c r="C1175" s="3">
        <v>0</v>
      </c>
      <c r="D1175" s="3">
        <v>0</v>
      </c>
      <c r="E1175" s="3">
        <v>0</v>
      </c>
      <c r="F1175" s="5">
        <v>0</v>
      </c>
    </row>
    <row r="1176" spans="1:11" ht="15" customHeight="1" x14ac:dyDescent="0.25">
      <c r="A1176" s="2" t="s">
        <v>1018</v>
      </c>
      <c r="B1176" s="2" t="s">
        <v>1019</v>
      </c>
      <c r="C1176" s="3">
        <v>39114.050000000003</v>
      </c>
      <c r="D1176" s="3">
        <v>0</v>
      </c>
      <c r="E1176" s="3">
        <v>0</v>
      </c>
      <c r="F1176" s="5">
        <v>0</v>
      </c>
    </row>
    <row r="1177" spans="1:11" ht="15" customHeight="1" x14ac:dyDescent="0.25">
      <c r="A1177" s="2" t="s">
        <v>1020</v>
      </c>
      <c r="B1177" s="2" t="s">
        <v>1021</v>
      </c>
      <c r="C1177" s="3">
        <v>37161.25</v>
      </c>
      <c r="D1177" s="3">
        <v>0</v>
      </c>
      <c r="E1177" s="3">
        <v>0</v>
      </c>
      <c r="F1177" s="5">
        <v>0</v>
      </c>
    </row>
    <row r="1178" spans="1:11" ht="15" customHeight="1" x14ac:dyDescent="0.25">
      <c r="A1178" s="2" t="s">
        <v>1022</v>
      </c>
      <c r="B1178" s="2" t="s">
        <v>1023</v>
      </c>
      <c r="C1178" s="3">
        <v>0</v>
      </c>
      <c r="D1178" s="3">
        <v>0</v>
      </c>
      <c r="E1178" s="3">
        <v>20000</v>
      </c>
      <c r="F1178" s="5">
        <v>0</v>
      </c>
    </row>
    <row r="1179" spans="1:11" ht="15" customHeight="1" x14ac:dyDescent="0.25">
      <c r="A1179" s="2" t="s">
        <v>1024</v>
      </c>
      <c r="B1179" s="2" t="s">
        <v>1025</v>
      </c>
      <c r="C1179" s="3">
        <v>0</v>
      </c>
      <c r="D1179" s="3">
        <v>0</v>
      </c>
      <c r="E1179" s="3">
        <v>22500</v>
      </c>
      <c r="F1179" s="5">
        <v>0</v>
      </c>
    </row>
    <row r="1180" spans="1:11" ht="15" customHeight="1" x14ac:dyDescent="0.25">
      <c r="A1180" s="2" t="s">
        <v>1026</v>
      </c>
      <c r="B1180" s="2" t="s">
        <v>1027</v>
      </c>
      <c r="C1180" s="3">
        <v>0</v>
      </c>
      <c r="D1180" s="3">
        <v>0</v>
      </c>
      <c r="E1180" s="3">
        <v>10000</v>
      </c>
      <c r="F1180" s="5">
        <v>0</v>
      </c>
    </row>
    <row r="1181" spans="1:11" ht="15" customHeight="1" x14ac:dyDescent="0.25">
      <c r="A1181" s="2" t="s">
        <v>1028</v>
      </c>
      <c r="B1181" s="2" t="s">
        <v>1029</v>
      </c>
      <c r="C1181" s="3">
        <v>0</v>
      </c>
      <c r="D1181" s="3">
        <v>0</v>
      </c>
      <c r="E1181" s="3">
        <v>10000</v>
      </c>
      <c r="F1181" s="5">
        <v>0</v>
      </c>
    </row>
    <row r="1182" spans="1:11" ht="15" customHeight="1" x14ac:dyDescent="0.25">
      <c r="A1182" s="2" t="s">
        <v>1030</v>
      </c>
      <c r="B1182" s="2" t="s">
        <v>1031</v>
      </c>
      <c r="C1182" s="3">
        <v>0</v>
      </c>
      <c r="D1182" s="3">
        <v>0</v>
      </c>
      <c r="E1182" s="3">
        <v>5000</v>
      </c>
      <c r="F1182" s="5">
        <v>0</v>
      </c>
    </row>
    <row r="1183" spans="1:11" ht="15" customHeight="1" x14ac:dyDescent="0.25">
      <c r="A1183" s="2" t="s">
        <v>1032</v>
      </c>
      <c r="B1183" s="2" t="s">
        <v>1033</v>
      </c>
      <c r="C1183" s="3">
        <v>0</v>
      </c>
      <c r="D1183" s="3">
        <v>0</v>
      </c>
      <c r="E1183" s="3">
        <v>95000</v>
      </c>
      <c r="F1183" s="5">
        <v>0</v>
      </c>
    </row>
    <row r="1184" spans="1:11" x14ac:dyDescent="0.25">
      <c r="A1184" s="2" t="s">
        <v>1034</v>
      </c>
      <c r="B1184" s="2" t="s">
        <v>1035</v>
      </c>
      <c r="C1184" s="3">
        <v>0</v>
      </c>
      <c r="D1184" s="3">
        <v>0</v>
      </c>
      <c r="E1184" s="3">
        <v>2500</v>
      </c>
      <c r="F1184" s="5">
        <v>0</v>
      </c>
    </row>
    <row r="1185" spans="1:7" ht="15" customHeight="1" x14ac:dyDescent="0.25">
      <c r="A1185" s="2" t="s">
        <v>1036</v>
      </c>
      <c r="B1185" s="2" t="s">
        <v>1037</v>
      </c>
      <c r="C1185" s="3">
        <v>0</v>
      </c>
      <c r="D1185" s="3">
        <v>0</v>
      </c>
      <c r="E1185" s="3">
        <v>1750</v>
      </c>
      <c r="F1185" s="5">
        <v>0</v>
      </c>
    </row>
    <row r="1186" spans="1:7" x14ac:dyDescent="0.25">
      <c r="A1186" s="1" t="s">
        <v>2</v>
      </c>
      <c r="B1186" s="1" t="s">
        <v>2</v>
      </c>
      <c r="C1186" s="1" t="s">
        <v>2</v>
      </c>
      <c r="D1186" s="1" t="s">
        <v>2</v>
      </c>
      <c r="E1186" s="1" t="s">
        <v>2</v>
      </c>
      <c r="F1186" s="1" t="s">
        <v>2</v>
      </c>
    </row>
    <row r="1187" spans="1:7" x14ac:dyDescent="0.25">
      <c r="A1187" s="1" t="s">
        <v>1038</v>
      </c>
      <c r="B1187" s="1" t="s">
        <v>2</v>
      </c>
      <c r="C1187" s="4">
        <v>1531871.22</v>
      </c>
      <c r="D1187" s="4">
        <v>655717.68999999994</v>
      </c>
      <c r="E1187" s="6">
        <f>SUM(E1170:E1185)+E1168+E1156+E1139+E1124+E1120+E1090+E1064+E1053</f>
        <v>4415153.01</v>
      </c>
      <c r="F1187" s="6">
        <f>SUM(F1170:F1185)+F1168+F1156+F1139+F1124+F1120+F1090+F1064+F1053</f>
        <v>0</v>
      </c>
    </row>
    <row r="1188" spans="1:7" ht="15" customHeight="1" x14ac:dyDescent="0.25">
      <c r="A1188" s="25" t="s">
        <v>2693</v>
      </c>
      <c r="B1188" s="25"/>
      <c r="C1188" s="33">
        <f>C929+C1013-C1187</f>
        <v>132611.59000000008</v>
      </c>
      <c r="D1188" s="33">
        <f t="shared" ref="D1188:F1188" si="6">D929+D1013-D1187</f>
        <v>-144169.89999999991</v>
      </c>
      <c r="E1188" s="33">
        <f t="shared" si="6"/>
        <v>72478.580000000075</v>
      </c>
      <c r="F1188" s="33">
        <f t="shared" si="6"/>
        <v>72478.580000000075</v>
      </c>
      <c r="G1188" s="25"/>
    </row>
    <row r="1189" spans="1:7" x14ac:dyDescent="0.25">
      <c r="A1189" s="1" t="s">
        <v>2</v>
      </c>
      <c r="B1189" s="1" t="s">
        <v>2</v>
      </c>
      <c r="C1189" s="1" t="s">
        <v>2</v>
      </c>
      <c r="D1189" s="1" t="s">
        <v>2</v>
      </c>
      <c r="E1189" s="1" t="s">
        <v>2</v>
      </c>
      <c r="F1189" s="1" t="s">
        <v>2</v>
      </c>
    </row>
    <row r="1190" spans="1:7" ht="15" customHeight="1" x14ac:dyDescent="0.25">
      <c r="A1190" s="27" t="s">
        <v>2694</v>
      </c>
      <c r="B1190" s="27"/>
      <c r="C1190" s="28">
        <v>577328.09</v>
      </c>
      <c r="D1190" s="28">
        <v>554349.81999999995</v>
      </c>
      <c r="E1190" s="28">
        <v>554349.81999999995</v>
      </c>
      <c r="F1190" s="28">
        <f>E1213</f>
        <v>408860.81999999995</v>
      </c>
      <c r="G1190" s="27"/>
    </row>
    <row r="1191" spans="1:7" x14ac:dyDescent="0.25">
      <c r="A1191" s="23" t="s">
        <v>1039</v>
      </c>
      <c r="B1191" s="23" t="s">
        <v>2</v>
      </c>
      <c r="C1191" s="29"/>
      <c r="D1191" s="29"/>
      <c r="E1191" s="29"/>
      <c r="F1191" s="29"/>
      <c r="G1191" s="29"/>
    </row>
    <row r="1192" spans="1:7" x14ac:dyDescent="0.25">
      <c r="A1192" s="23" t="s">
        <v>2026</v>
      </c>
      <c r="B1192" s="23" t="s">
        <v>2</v>
      </c>
      <c r="C1192" s="29"/>
      <c r="D1192" s="29"/>
      <c r="E1192" s="29"/>
      <c r="F1192" s="29"/>
      <c r="G1192" s="29"/>
    </row>
    <row r="1193" spans="1:7" ht="24" x14ac:dyDescent="0.25">
      <c r="A1193" s="23" t="s">
        <v>2695</v>
      </c>
      <c r="B1193" s="23" t="s">
        <v>2</v>
      </c>
      <c r="C1193" s="29"/>
      <c r="D1193" s="29"/>
      <c r="E1193" s="29"/>
      <c r="F1193" s="29"/>
      <c r="G1193" s="29"/>
    </row>
    <row r="1194" spans="1:7" x14ac:dyDescent="0.25">
      <c r="A1194" s="30" t="s">
        <v>2696</v>
      </c>
      <c r="B1194" s="30" t="s">
        <v>2697</v>
      </c>
      <c r="C1194" s="31">
        <v>162580.98000000001</v>
      </c>
      <c r="D1194" s="31">
        <v>54487.29</v>
      </c>
      <c r="E1194" s="31">
        <v>100000</v>
      </c>
      <c r="F1194" s="31">
        <v>0</v>
      </c>
      <c r="G1194" s="29"/>
    </row>
    <row r="1195" spans="1:7" x14ac:dyDescent="0.25">
      <c r="A1195" s="30" t="s">
        <v>2698</v>
      </c>
      <c r="B1195" s="30" t="s">
        <v>2699</v>
      </c>
      <c r="C1195" s="31">
        <v>0</v>
      </c>
      <c r="D1195" s="31">
        <v>0</v>
      </c>
      <c r="E1195" s="31">
        <v>0</v>
      </c>
      <c r="F1195" s="31">
        <v>0</v>
      </c>
      <c r="G1195" s="29"/>
    </row>
    <row r="1196" spans="1:7" ht="24" x14ac:dyDescent="0.25">
      <c r="A1196" s="23" t="s">
        <v>2700</v>
      </c>
      <c r="B1196" s="23" t="s">
        <v>2</v>
      </c>
      <c r="C1196" s="32">
        <v>162580.98000000001</v>
      </c>
      <c r="D1196" s="32">
        <v>54487.29</v>
      </c>
      <c r="E1196" s="32">
        <f>SUM(E1194:E1195)</f>
        <v>100000</v>
      </c>
      <c r="F1196" s="32">
        <f>SUM(F1194:F1195)</f>
        <v>0</v>
      </c>
      <c r="G1196" s="29"/>
    </row>
    <row r="1197" spans="1:7" x14ac:dyDescent="0.25">
      <c r="A1197" s="23" t="s">
        <v>2</v>
      </c>
      <c r="B1197" s="23" t="s">
        <v>2</v>
      </c>
      <c r="C1197" s="23" t="s">
        <v>2</v>
      </c>
      <c r="D1197" s="23" t="s">
        <v>2</v>
      </c>
      <c r="E1197" s="23" t="s">
        <v>2</v>
      </c>
      <c r="F1197" s="23" t="s">
        <v>2</v>
      </c>
      <c r="G1197" s="29"/>
    </row>
    <row r="1198" spans="1:7" x14ac:dyDescent="0.25">
      <c r="A1198" s="23" t="s">
        <v>2175</v>
      </c>
      <c r="B1198" s="23" t="s">
        <v>2</v>
      </c>
      <c r="C1198" s="29"/>
      <c r="D1198" s="29"/>
      <c r="E1198" s="29"/>
      <c r="F1198" s="29"/>
      <c r="G1198" s="29"/>
    </row>
    <row r="1199" spans="1:7" x14ac:dyDescent="0.25">
      <c r="A1199" s="23" t="s">
        <v>2176</v>
      </c>
      <c r="B1199" s="23" t="s">
        <v>2</v>
      </c>
      <c r="C1199" s="29"/>
      <c r="D1199" s="29"/>
      <c r="E1199" s="29"/>
      <c r="F1199" s="29"/>
      <c r="G1199" s="29"/>
    </row>
    <row r="1200" spans="1:7" x14ac:dyDescent="0.25">
      <c r="A1200" s="30" t="s">
        <v>2701</v>
      </c>
      <c r="B1200" s="30" t="s">
        <v>2409</v>
      </c>
      <c r="C1200" s="31">
        <v>337.85</v>
      </c>
      <c r="D1200" s="31">
        <v>247.95</v>
      </c>
      <c r="E1200" s="31">
        <v>0</v>
      </c>
      <c r="F1200" s="31">
        <v>0</v>
      </c>
      <c r="G1200" s="29"/>
    </row>
    <row r="1201" spans="1:7" x14ac:dyDescent="0.25">
      <c r="A1201" s="30" t="s">
        <v>2702</v>
      </c>
      <c r="B1201" s="30" t="s">
        <v>2703</v>
      </c>
      <c r="C1201" s="31">
        <v>0</v>
      </c>
      <c r="D1201" s="31">
        <v>0</v>
      </c>
      <c r="E1201" s="31">
        <v>0</v>
      </c>
      <c r="F1201" s="31">
        <v>0</v>
      </c>
      <c r="G1201" s="29"/>
    </row>
    <row r="1202" spans="1:7" x14ac:dyDescent="0.25">
      <c r="A1202" s="23" t="s">
        <v>2179</v>
      </c>
      <c r="B1202" s="23" t="s">
        <v>2</v>
      </c>
      <c r="C1202" s="32">
        <v>337.85</v>
      </c>
      <c r="D1202" s="32">
        <v>247.95</v>
      </c>
      <c r="E1202" s="32">
        <f>SUM(E1200:E1201)</f>
        <v>0</v>
      </c>
      <c r="F1202" s="32">
        <f>SUM(F1200:F1201)</f>
        <v>0</v>
      </c>
      <c r="G1202" s="29"/>
    </row>
    <row r="1203" spans="1:7" x14ac:dyDescent="0.25">
      <c r="A1203" s="23" t="s">
        <v>2</v>
      </c>
      <c r="B1203" s="23" t="s">
        <v>2</v>
      </c>
      <c r="C1203" s="23" t="s">
        <v>2</v>
      </c>
      <c r="D1203" s="23" t="s">
        <v>2</v>
      </c>
      <c r="E1203" s="23" t="s">
        <v>2</v>
      </c>
      <c r="F1203" s="23" t="s">
        <v>2</v>
      </c>
      <c r="G1203" s="29"/>
    </row>
    <row r="1204" spans="1:7" x14ac:dyDescent="0.25">
      <c r="A1204" s="23" t="s">
        <v>2180</v>
      </c>
      <c r="B1204" s="23" t="s">
        <v>2</v>
      </c>
      <c r="C1204" s="32">
        <v>337.85</v>
      </c>
      <c r="D1204" s="32">
        <v>247.95</v>
      </c>
      <c r="E1204" s="32">
        <f>E1202</f>
        <v>0</v>
      </c>
      <c r="F1204" s="32">
        <f>F1202</f>
        <v>0</v>
      </c>
      <c r="G1204" s="29"/>
    </row>
    <row r="1205" spans="1:7" x14ac:dyDescent="0.25">
      <c r="A1205" s="23"/>
      <c r="B1205" s="23"/>
      <c r="C1205" s="32"/>
      <c r="D1205" s="32"/>
      <c r="E1205" s="32"/>
      <c r="F1205" s="32"/>
      <c r="G1205" s="29"/>
    </row>
    <row r="1206" spans="1:7" x14ac:dyDescent="0.25">
      <c r="A1206" s="23" t="s">
        <v>2047</v>
      </c>
      <c r="B1206" s="23" t="s">
        <v>2</v>
      </c>
      <c r="C1206" s="32">
        <v>162918.82999999999</v>
      </c>
      <c r="D1206" s="32">
        <v>54735.24</v>
      </c>
      <c r="E1206" s="32">
        <f>E1204+E1196</f>
        <v>100000</v>
      </c>
      <c r="F1206" s="32">
        <f>F1204+F1196</f>
        <v>0</v>
      </c>
      <c r="G1206" s="29"/>
    </row>
    <row r="1207" spans="1:7" x14ac:dyDescent="0.25">
      <c r="A1207" s="1" t="s">
        <v>740</v>
      </c>
      <c r="B1207" s="1" t="s">
        <v>2</v>
      </c>
      <c r="C1207" s="40"/>
      <c r="E1207" s="40"/>
    </row>
    <row r="1208" spans="1:7" ht="15" customHeight="1" x14ac:dyDescent="0.25">
      <c r="A1208" s="2" t="s">
        <v>1040</v>
      </c>
      <c r="B1208" s="2" t="s">
        <v>1041</v>
      </c>
      <c r="C1208" s="3">
        <v>91813.5</v>
      </c>
      <c r="D1208" s="3">
        <v>0</v>
      </c>
      <c r="E1208" s="3">
        <v>50000</v>
      </c>
      <c r="F1208" s="5">
        <v>0</v>
      </c>
    </row>
    <row r="1209" spans="1:7" ht="15" customHeight="1" x14ac:dyDescent="0.25">
      <c r="A1209" s="2" t="s">
        <v>1042</v>
      </c>
      <c r="B1209" s="2" t="s">
        <v>1043</v>
      </c>
      <c r="C1209" s="3">
        <v>70272</v>
      </c>
      <c r="D1209" s="3">
        <v>0</v>
      </c>
      <c r="E1209" s="3">
        <v>70272</v>
      </c>
      <c r="F1209" s="5">
        <v>0</v>
      </c>
    </row>
    <row r="1210" spans="1:7" x14ac:dyDescent="0.25">
      <c r="A1210" s="2" t="s">
        <v>1044</v>
      </c>
      <c r="B1210" s="2" t="s">
        <v>1045</v>
      </c>
      <c r="C1210" s="3">
        <v>23811.599999999999</v>
      </c>
      <c r="D1210" s="3">
        <v>0</v>
      </c>
      <c r="E1210" s="3">
        <v>25217</v>
      </c>
      <c r="F1210" s="5">
        <v>0</v>
      </c>
    </row>
    <row r="1211" spans="1:7" ht="15" customHeight="1" x14ac:dyDescent="0.25">
      <c r="A1211" s="2" t="s">
        <v>1046</v>
      </c>
      <c r="B1211" s="2" t="s">
        <v>1047</v>
      </c>
      <c r="C1211" s="3">
        <v>0</v>
      </c>
      <c r="D1211" s="3">
        <v>57179.14</v>
      </c>
      <c r="E1211" s="3">
        <v>100000</v>
      </c>
      <c r="F1211" s="5">
        <v>0</v>
      </c>
    </row>
    <row r="1212" spans="1:7" ht="15" customHeight="1" x14ac:dyDescent="0.25">
      <c r="A1212" s="1" t="s">
        <v>1048</v>
      </c>
      <c r="B1212" s="1" t="s">
        <v>2</v>
      </c>
      <c r="C1212" s="4">
        <v>185897.1</v>
      </c>
      <c r="D1212" s="4">
        <v>57179.14</v>
      </c>
      <c r="E1212" s="6">
        <f>SUM(E1208:E1211)</f>
        <v>245489</v>
      </c>
      <c r="F1212" s="6">
        <f>SUM(F1208:F1211)</f>
        <v>0</v>
      </c>
    </row>
    <row r="1213" spans="1:7" ht="15" customHeight="1" x14ac:dyDescent="0.25">
      <c r="A1213" s="25" t="s">
        <v>2704</v>
      </c>
      <c r="B1213" s="25"/>
      <c r="C1213" s="33">
        <f>C1190+C1206-C1212</f>
        <v>554349.81999999995</v>
      </c>
      <c r="D1213" s="33">
        <f t="shared" ref="D1213:F1213" si="7">D1190+D1206-D1212</f>
        <v>551905.91999999993</v>
      </c>
      <c r="E1213" s="33">
        <f t="shared" si="7"/>
        <v>408860.81999999995</v>
      </c>
      <c r="F1213" s="33">
        <f t="shared" si="7"/>
        <v>408860.81999999995</v>
      </c>
      <c r="G1213" s="25"/>
    </row>
    <row r="1214" spans="1:7" x14ac:dyDescent="0.25">
      <c r="A1214" s="1" t="s">
        <v>2</v>
      </c>
      <c r="B1214" s="1" t="s">
        <v>2</v>
      </c>
      <c r="C1214" s="1" t="s">
        <v>2</v>
      </c>
      <c r="D1214" s="1" t="s">
        <v>2</v>
      </c>
      <c r="E1214" s="1" t="s">
        <v>2</v>
      </c>
      <c r="F1214" s="1" t="s">
        <v>2</v>
      </c>
    </row>
    <row r="1215" spans="1:7" x14ac:dyDescent="0.25">
      <c r="A1215" s="27" t="s">
        <v>2705</v>
      </c>
      <c r="B1215" s="27"/>
      <c r="C1215" s="28">
        <v>1058184.67</v>
      </c>
      <c r="D1215" s="28">
        <v>1360447.98</v>
      </c>
      <c r="E1215" s="28">
        <v>1360447.98</v>
      </c>
      <c r="F1215" s="28">
        <f>E1244</f>
        <v>855447.98</v>
      </c>
      <c r="G1215" s="27"/>
    </row>
    <row r="1216" spans="1:7" x14ac:dyDescent="0.25">
      <c r="A1216" s="23" t="s">
        <v>1049</v>
      </c>
      <c r="B1216" s="23" t="s">
        <v>2</v>
      </c>
      <c r="C1216" s="29"/>
      <c r="D1216" s="29"/>
      <c r="E1216" s="29"/>
      <c r="F1216" s="29"/>
      <c r="G1216" s="29"/>
    </row>
    <row r="1217" spans="1:7" x14ac:dyDescent="0.25">
      <c r="A1217" s="23" t="s">
        <v>2026</v>
      </c>
      <c r="B1217" s="23" t="s">
        <v>2</v>
      </c>
      <c r="C1217" s="29"/>
      <c r="D1217" s="29"/>
      <c r="E1217" s="29"/>
      <c r="F1217" s="29"/>
      <c r="G1217" s="29"/>
    </row>
    <row r="1218" spans="1:7" x14ac:dyDescent="0.25">
      <c r="A1218" s="23" t="s">
        <v>2706</v>
      </c>
      <c r="B1218" s="23" t="s">
        <v>2</v>
      </c>
      <c r="C1218" s="29"/>
      <c r="D1218" s="29"/>
      <c r="E1218" s="29"/>
      <c r="F1218" s="29"/>
      <c r="G1218" s="29"/>
    </row>
    <row r="1219" spans="1:7" x14ac:dyDescent="0.25">
      <c r="A1219" s="23" t="s">
        <v>2707</v>
      </c>
      <c r="B1219" s="23" t="s">
        <v>2</v>
      </c>
      <c r="C1219" s="29"/>
      <c r="D1219" s="29"/>
      <c r="E1219" s="29"/>
      <c r="F1219" s="29"/>
      <c r="G1219" s="29"/>
    </row>
    <row r="1220" spans="1:7" x14ac:dyDescent="0.25">
      <c r="A1220" s="30" t="s">
        <v>2708</v>
      </c>
      <c r="B1220" s="30" t="s">
        <v>2709</v>
      </c>
      <c r="C1220" s="31">
        <v>0</v>
      </c>
      <c r="D1220" s="31">
        <v>0</v>
      </c>
      <c r="E1220" s="31">
        <v>0</v>
      </c>
      <c r="F1220" s="31">
        <v>0</v>
      </c>
      <c r="G1220" s="29"/>
    </row>
    <row r="1221" spans="1:7" x14ac:dyDescent="0.25">
      <c r="A1221" s="23" t="s">
        <v>2710</v>
      </c>
      <c r="B1221" s="23" t="s">
        <v>2</v>
      </c>
      <c r="C1221" s="32">
        <v>0</v>
      </c>
      <c r="D1221" s="32">
        <v>0</v>
      </c>
      <c r="E1221" s="32">
        <f>SUM(E1220)</f>
        <v>0</v>
      </c>
      <c r="F1221" s="32">
        <f>SUM(F1220)</f>
        <v>0</v>
      </c>
      <c r="G1221" s="29"/>
    </row>
    <row r="1222" spans="1:7" x14ac:dyDescent="0.25">
      <c r="A1222" s="23" t="s">
        <v>2</v>
      </c>
      <c r="B1222" s="23" t="s">
        <v>2</v>
      </c>
      <c r="C1222" s="23" t="s">
        <v>2</v>
      </c>
      <c r="D1222" s="23" t="s">
        <v>2</v>
      </c>
      <c r="E1222" s="23" t="s">
        <v>2</v>
      </c>
      <c r="F1222" s="23" t="s">
        <v>2</v>
      </c>
      <c r="G1222" s="29"/>
    </row>
    <row r="1223" spans="1:7" x14ac:dyDescent="0.25">
      <c r="A1223" s="23" t="s">
        <v>2711</v>
      </c>
      <c r="B1223" s="23" t="s">
        <v>2</v>
      </c>
      <c r="C1223" s="29"/>
      <c r="D1223" s="29"/>
      <c r="E1223" s="29"/>
      <c r="F1223" s="29"/>
      <c r="G1223" s="29"/>
    </row>
    <row r="1224" spans="1:7" x14ac:dyDescent="0.25">
      <c r="A1224" s="23" t="s">
        <v>2712</v>
      </c>
      <c r="B1224" s="23" t="s">
        <v>2</v>
      </c>
      <c r="C1224" s="29"/>
      <c r="D1224" s="29"/>
      <c r="E1224" s="29"/>
      <c r="F1224" s="29"/>
      <c r="G1224" s="29"/>
    </row>
    <row r="1225" spans="1:7" x14ac:dyDescent="0.25">
      <c r="A1225" s="30" t="s">
        <v>2713</v>
      </c>
      <c r="B1225" s="30" t="s">
        <v>2714</v>
      </c>
      <c r="C1225" s="31">
        <v>521184.97</v>
      </c>
      <c r="D1225" s="31">
        <v>137989</v>
      </c>
      <c r="E1225" s="31">
        <v>400000</v>
      </c>
      <c r="F1225" s="31">
        <v>0</v>
      </c>
      <c r="G1225" s="29"/>
    </row>
    <row r="1226" spans="1:7" x14ac:dyDescent="0.25">
      <c r="A1226" s="30" t="s">
        <v>2715</v>
      </c>
      <c r="B1226" s="30" t="s">
        <v>2716</v>
      </c>
      <c r="C1226" s="31">
        <v>0</v>
      </c>
      <c r="D1226" s="31">
        <v>0</v>
      </c>
      <c r="E1226" s="31">
        <v>0</v>
      </c>
      <c r="F1226" s="31">
        <v>0</v>
      </c>
      <c r="G1226" s="29"/>
    </row>
    <row r="1227" spans="1:7" x14ac:dyDescent="0.25">
      <c r="A1227" s="30" t="s">
        <v>2717</v>
      </c>
      <c r="B1227" s="30" t="s">
        <v>2718</v>
      </c>
      <c r="C1227" s="31">
        <v>0</v>
      </c>
      <c r="D1227" s="31">
        <v>0</v>
      </c>
      <c r="E1227" s="31">
        <v>0</v>
      </c>
      <c r="F1227" s="31">
        <v>0</v>
      </c>
      <c r="G1227" s="29"/>
    </row>
    <row r="1228" spans="1:7" x14ac:dyDescent="0.25">
      <c r="A1228" s="23" t="s">
        <v>2719</v>
      </c>
      <c r="B1228" s="23" t="s">
        <v>2</v>
      </c>
      <c r="C1228" s="32">
        <v>521184.97</v>
      </c>
      <c r="D1228" s="32">
        <v>137989</v>
      </c>
      <c r="E1228" s="32">
        <f>SUM(E1225:E1227)</f>
        <v>400000</v>
      </c>
      <c r="F1228" s="32">
        <f>SUM(F1225:F1227)</f>
        <v>0</v>
      </c>
      <c r="G1228" s="29"/>
    </row>
    <row r="1229" spans="1:7" x14ac:dyDescent="0.25">
      <c r="A1229" s="23" t="s">
        <v>2</v>
      </c>
      <c r="B1229" s="23" t="s">
        <v>2</v>
      </c>
      <c r="C1229" s="23" t="s">
        <v>2</v>
      </c>
      <c r="D1229" s="23" t="s">
        <v>2</v>
      </c>
      <c r="E1229" s="23" t="s">
        <v>2</v>
      </c>
      <c r="F1229" s="23" t="s">
        <v>2</v>
      </c>
      <c r="G1229" s="29"/>
    </row>
    <row r="1230" spans="1:7" x14ac:dyDescent="0.25">
      <c r="A1230" s="23" t="s">
        <v>2175</v>
      </c>
      <c r="B1230" s="23" t="s">
        <v>2</v>
      </c>
      <c r="C1230" s="29"/>
      <c r="D1230" s="29"/>
      <c r="E1230" s="29"/>
      <c r="F1230" s="29"/>
      <c r="G1230" s="29"/>
    </row>
    <row r="1231" spans="1:7" x14ac:dyDescent="0.25">
      <c r="A1231" s="23" t="s">
        <v>2176</v>
      </c>
      <c r="B1231" s="23" t="s">
        <v>2</v>
      </c>
      <c r="C1231" s="29"/>
      <c r="D1231" s="29"/>
      <c r="E1231" s="29"/>
      <c r="F1231" s="29"/>
      <c r="G1231" s="29"/>
    </row>
    <row r="1232" spans="1:7" x14ac:dyDescent="0.25">
      <c r="A1232" s="30" t="s">
        <v>2722</v>
      </c>
      <c r="B1232" s="30" t="s">
        <v>2409</v>
      </c>
      <c r="C1232" s="31">
        <v>876.19</v>
      </c>
      <c r="D1232" s="31">
        <v>623.76</v>
      </c>
      <c r="E1232" s="31">
        <v>0</v>
      </c>
      <c r="F1232" s="31">
        <v>0</v>
      </c>
      <c r="G1232" s="29"/>
    </row>
    <row r="1233" spans="1:7" x14ac:dyDescent="0.25">
      <c r="A1233" s="30" t="s">
        <v>2723</v>
      </c>
      <c r="B1233" s="30" t="s">
        <v>2703</v>
      </c>
      <c r="C1233" s="31">
        <v>0</v>
      </c>
      <c r="D1233" s="31">
        <v>0</v>
      </c>
      <c r="E1233" s="31">
        <v>0</v>
      </c>
      <c r="F1233" s="31">
        <v>0</v>
      </c>
      <c r="G1233" s="29"/>
    </row>
    <row r="1234" spans="1:7" x14ac:dyDescent="0.25">
      <c r="A1234" s="23" t="s">
        <v>2179</v>
      </c>
      <c r="B1234" s="23" t="s">
        <v>2</v>
      </c>
      <c r="C1234" s="32">
        <v>876.19</v>
      </c>
      <c r="D1234" s="32">
        <v>623.76</v>
      </c>
      <c r="E1234" s="32">
        <f>SUM(E1232:E1233)</f>
        <v>0</v>
      </c>
      <c r="F1234" s="32">
        <f>SUM(F1232:F1233)</f>
        <v>0</v>
      </c>
      <c r="G1234" s="29"/>
    </row>
    <row r="1235" spans="1:7" x14ac:dyDescent="0.25">
      <c r="A1235" s="23" t="s">
        <v>2</v>
      </c>
      <c r="B1235" s="23" t="s">
        <v>2</v>
      </c>
      <c r="C1235" s="23" t="s">
        <v>2</v>
      </c>
      <c r="D1235" s="23" t="s">
        <v>2</v>
      </c>
      <c r="E1235" s="23" t="s">
        <v>2</v>
      </c>
      <c r="F1235" s="23" t="s">
        <v>2</v>
      </c>
      <c r="G1235" s="29"/>
    </row>
    <row r="1236" spans="1:7" x14ac:dyDescent="0.25">
      <c r="A1236" s="23" t="s">
        <v>2047</v>
      </c>
      <c r="B1236" s="23" t="s">
        <v>2</v>
      </c>
      <c r="C1236" s="32">
        <v>522061.16</v>
      </c>
      <c r="D1236" s="32">
        <v>138612.76</v>
      </c>
      <c r="E1236" s="32">
        <f>E1234+E1228+E1221</f>
        <v>400000</v>
      </c>
      <c r="F1236" s="32">
        <f>F1234+F1228+F1221</f>
        <v>0</v>
      </c>
      <c r="G1236" s="29"/>
    </row>
    <row r="1237" spans="1:7" ht="15" customHeight="1" x14ac:dyDescent="0.25">
      <c r="A1237" s="1" t="s">
        <v>740</v>
      </c>
      <c r="B1237" s="1" t="s">
        <v>2</v>
      </c>
      <c r="C1237" s="41"/>
    </row>
    <row r="1238" spans="1:7" ht="15" customHeight="1" x14ac:dyDescent="0.25">
      <c r="A1238" s="2" t="s">
        <v>1050</v>
      </c>
      <c r="B1238" s="2" t="s">
        <v>1051</v>
      </c>
      <c r="C1238" s="3">
        <v>0</v>
      </c>
      <c r="D1238" s="3">
        <v>0</v>
      </c>
      <c r="E1238" s="3">
        <v>0</v>
      </c>
      <c r="F1238" s="5">
        <v>0</v>
      </c>
    </row>
    <row r="1239" spans="1:7" ht="15" customHeight="1" x14ac:dyDescent="0.25">
      <c r="A1239" s="2" t="s">
        <v>1052</v>
      </c>
      <c r="B1239" s="2" t="s">
        <v>1053</v>
      </c>
      <c r="C1239" s="3">
        <v>0</v>
      </c>
      <c r="D1239" s="3">
        <v>0</v>
      </c>
      <c r="E1239" s="3">
        <v>0</v>
      </c>
      <c r="F1239" s="5">
        <v>0</v>
      </c>
    </row>
    <row r="1240" spans="1:7" ht="15" customHeight="1" x14ac:dyDescent="0.25">
      <c r="A1240" s="2" t="s">
        <v>1054</v>
      </c>
      <c r="B1240" s="2" t="s">
        <v>1055</v>
      </c>
      <c r="C1240" s="3">
        <v>6838.6</v>
      </c>
      <c r="D1240" s="3">
        <v>18215.52</v>
      </c>
      <c r="E1240" s="3">
        <v>0</v>
      </c>
      <c r="F1240" s="5">
        <v>0</v>
      </c>
    </row>
    <row r="1241" spans="1:7" x14ac:dyDescent="0.25">
      <c r="A1241" s="2" t="s">
        <v>1056</v>
      </c>
      <c r="B1241" s="2" t="s">
        <v>1057</v>
      </c>
      <c r="C1241" s="3">
        <v>0</v>
      </c>
      <c r="D1241" s="3">
        <v>0</v>
      </c>
      <c r="E1241" s="3">
        <v>0</v>
      </c>
      <c r="F1241" s="5">
        <v>0</v>
      </c>
    </row>
    <row r="1242" spans="1:7" ht="15" customHeight="1" x14ac:dyDescent="0.25">
      <c r="A1242" s="2" t="s">
        <v>1058</v>
      </c>
      <c r="B1242" s="2" t="s">
        <v>1059</v>
      </c>
      <c r="C1242" s="3">
        <v>212959.25</v>
      </c>
      <c r="D1242" s="3">
        <v>60537.73</v>
      </c>
      <c r="E1242" s="3">
        <v>905000</v>
      </c>
      <c r="F1242" s="5">
        <v>0</v>
      </c>
    </row>
    <row r="1243" spans="1:7" ht="15" customHeight="1" x14ac:dyDescent="0.25">
      <c r="A1243" s="1" t="s">
        <v>1060</v>
      </c>
      <c r="B1243" s="1" t="s">
        <v>2</v>
      </c>
      <c r="C1243" s="4">
        <v>219797.85</v>
      </c>
      <c r="D1243" s="4">
        <v>78753.25</v>
      </c>
      <c r="E1243" s="6">
        <f>SUM(E1238:E1242)</f>
        <v>905000</v>
      </c>
      <c r="F1243" s="6">
        <f>SUM(F1238:F1242)</f>
        <v>0</v>
      </c>
    </row>
    <row r="1244" spans="1:7" ht="15" customHeight="1" x14ac:dyDescent="0.25">
      <c r="A1244" s="25" t="s">
        <v>2726</v>
      </c>
      <c r="B1244" s="25"/>
      <c r="C1244" s="33">
        <f>C1215+C1236-C1243</f>
        <v>1360447.9799999997</v>
      </c>
      <c r="D1244" s="33">
        <f t="shared" ref="D1244:F1244" si="8">D1215+D1236-D1243</f>
        <v>1420307.49</v>
      </c>
      <c r="E1244" s="33">
        <f t="shared" si="8"/>
        <v>855447.98</v>
      </c>
      <c r="F1244" s="33">
        <f t="shared" si="8"/>
        <v>855447.98</v>
      </c>
      <c r="G1244" s="33"/>
    </row>
    <row r="1245" spans="1:7" x14ac:dyDescent="0.25">
      <c r="A1245" s="1" t="s">
        <v>2</v>
      </c>
      <c r="B1245" s="1" t="s">
        <v>2</v>
      </c>
      <c r="C1245" s="1" t="s">
        <v>2</v>
      </c>
      <c r="D1245" s="1" t="s">
        <v>2</v>
      </c>
      <c r="E1245" s="1" t="s">
        <v>2</v>
      </c>
      <c r="F1245" s="1" t="s">
        <v>2</v>
      </c>
    </row>
    <row r="1246" spans="1:7" ht="15" customHeight="1" x14ac:dyDescent="0.25">
      <c r="A1246" s="27" t="s">
        <v>2727</v>
      </c>
      <c r="B1246" s="27"/>
      <c r="C1246" s="28">
        <v>8247.19</v>
      </c>
      <c r="D1246" s="28">
        <v>5259.25</v>
      </c>
      <c r="E1246" s="28">
        <v>5259.25</v>
      </c>
      <c r="F1246" s="28">
        <f>E1268</f>
        <v>4539.25</v>
      </c>
      <c r="G1246" s="28"/>
    </row>
    <row r="1247" spans="1:7" x14ac:dyDescent="0.25">
      <c r="A1247" s="23" t="s">
        <v>1061</v>
      </c>
      <c r="B1247" s="23" t="s">
        <v>2</v>
      </c>
      <c r="C1247" s="29"/>
      <c r="D1247" s="29"/>
      <c r="E1247" s="29"/>
      <c r="F1247" s="29"/>
      <c r="G1247" s="29"/>
    </row>
    <row r="1248" spans="1:7" x14ac:dyDescent="0.25">
      <c r="A1248" s="23" t="s">
        <v>2026</v>
      </c>
      <c r="B1248" s="23" t="s">
        <v>2</v>
      </c>
      <c r="C1248" s="29"/>
      <c r="D1248" s="29"/>
      <c r="E1248" s="29"/>
      <c r="F1248" s="29"/>
      <c r="G1248" s="29"/>
    </row>
    <row r="1249" spans="1:7" x14ac:dyDescent="0.25">
      <c r="A1249" s="23" t="s">
        <v>2102</v>
      </c>
      <c r="B1249" s="23" t="s">
        <v>2</v>
      </c>
      <c r="C1249" s="29"/>
      <c r="D1249" s="29"/>
      <c r="E1249" s="29"/>
      <c r="F1249" s="29"/>
      <c r="G1249" s="29"/>
    </row>
    <row r="1250" spans="1:7" ht="24" x14ac:dyDescent="0.25">
      <c r="A1250" s="23" t="s">
        <v>2160</v>
      </c>
      <c r="B1250" s="23" t="s">
        <v>2</v>
      </c>
      <c r="C1250" s="29"/>
      <c r="D1250" s="29"/>
      <c r="E1250" s="29"/>
      <c r="F1250" s="29"/>
      <c r="G1250" s="29"/>
    </row>
    <row r="1251" spans="1:7" x14ac:dyDescent="0.25">
      <c r="A1251" s="30" t="s">
        <v>2728</v>
      </c>
      <c r="B1251" s="30" t="s">
        <v>2729</v>
      </c>
      <c r="C1251" s="31">
        <v>4826.3999999999996</v>
      </c>
      <c r="D1251" s="31">
        <v>2592.2600000000002</v>
      </c>
      <c r="E1251" s="31">
        <v>5345</v>
      </c>
      <c r="F1251" s="31">
        <v>0</v>
      </c>
      <c r="G1251" s="29"/>
    </row>
    <row r="1252" spans="1:7" x14ac:dyDescent="0.25">
      <c r="A1252" s="30" t="s">
        <v>2730</v>
      </c>
      <c r="B1252" s="30" t="s">
        <v>2731</v>
      </c>
      <c r="C1252" s="31">
        <v>17185.66</v>
      </c>
      <c r="D1252" s="31">
        <v>9213.41</v>
      </c>
      <c r="E1252" s="31">
        <v>18935</v>
      </c>
      <c r="F1252" s="31">
        <v>0</v>
      </c>
      <c r="G1252" s="29"/>
    </row>
    <row r="1253" spans="1:7" ht="24" x14ac:dyDescent="0.25">
      <c r="A1253" s="23" t="s">
        <v>2171</v>
      </c>
      <c r="B1253" s="23" t="s">
        <v>2</v>
      </c>
      <c r="C1253" s="32">
        <v>22012.06</v>
      </c>
      <c r="D1253" s="32">
        <v>11805.67</v>
      </c>
      <c r="E1253" s="32">
        <f>SUM(E1251:E1252)</f>
        <v>24280</v>
      </c>
      <c r="F1253" s="32">
        <f>SUM(F1251:F1252)</f>
        <v>0</v>
      </c>
      <c r="G1253" s="29"/>
    </row>
    <row r="1254" spans="1:7" x14ac:dyDescent="0.25">
      <c r="A1254" s="23" t="s">
        <v>2</v>
      </c>
      <c r="B1254" s="23" t="s">
        <v>2</v>
      </c>
      <c r="C1254" s="23" t="s">
        <v>2</v>
      </c>
      <c r="D1254" s="23" t="s">
        <v>2</v>
      </c>
      <c r="E1254" s="23" t="s">
        <v>2</v>
      </c>
      <c r="F1254" s="23" t="s">
        <v>2</v>
      </c>
      <c r="G1254" s="29"/>
    </row>
    <row r="1255" spans="1:7" x14ac:dyDescent="0.25">
      <c r="A1255" s="23" t="s">
        <v>2175</v>
      </c>
      <c r="B1255" s="23" t="s">
        <v>2</v>
      </c>
      <c r="C1255" s="29"/>
      <c r="D1255" s="29"/>
      <c r="E1255" s="29"/>
      <c r="F1255" s="29"/>
      <c r="G1255" s="29"/>
    </row>
    <row r="1256" spans="1:7" x14ac:dyDescent="0.25">
      <c r="A1256" s="23" t="s">
        <v>2176</v>
      </c>
      <c r="B1256" s="23" t="s">
        <v>2</v>
      </c>
      <c r="C1256" s="29"/>
      <c r="D1256" s="29"/>
      <c r="E1256" s="29"/>
      <c r="F1256" s="29"/>
      <c r="G1256" s="29"/>
    </row>
    <row r="1257" spans="1:7" x14ac:dyDescent="0.25">
      <c r="A1257" s="23" t="s">
        <v>2570</v>
      </c>
      <c r="B1257" s="23" t="s">
        <v>2</v>
      </c>
      <c r="C1257" s="29"/>
      <c r="D1257" s="29"/>
      <c r="E1257" s="29"/>
      <c r="F1257" s="29"/>
      <c r="G1257" s="29"/>
    </row>
    <row r="1258" spans="1:7" x14ac:dyDescent="0.25">
      <c r="A1258" s="30" t="s">
        <v>2732</v>
      </c>
      <c r="B1258" s="30" t="s">
        <v>2409</v>
      </c>
      <c r="C1258" s="31">
        <v>0</v>
      </c>
      <c r="D1258" s="31">
        <v>0</v>
      </c>
      <c r="E1258" s="31">
        <v>0</v>
      </c>
      <c r="F1258" s="31">
        <v>0</v>
      </c>
      <c r="G1258" s="29"/>
    </row>
    <row r="1259" spans="1:7" x14ac:dyDescent="0.25">
      <c r="A1259" s="23" t="s">
        <v>2564</v>
      </c>
      <c r="B1259" s="23" t="s">
        <v>2</v>
      </c>
      <c r="C1259" s="32">
        <v>0</v>
      </c>
      <c r="D1259" s="32">
        <v>0</v>
      </c>
      <c r="E1259" s="32">
        <f>SUM(E1258)</f>
        <v>0</v>
      </c>
      <c r="F1259" s="32">
        <f>SUM(F1258)</f>
        <v>0</v>
      </c>
      <c r="G1259" s="29"/>
    </row>
    <row r="1260" spans="1:7" x14ac:dyDescent="0.25">
      <c r="A1260" s="23" t="s">
        <v>2</v>
      </c>
      <c r="B1260" s="23" t="s">
        <v>2</v>
      </c>
      <c r="C1260" s="23" t="s">
        <v>2</v>
      </c>
      <c r="D1260" s="23" t="s">
        <v>2</v>
      </c>
      <c r="E1260" s="23" t="s">
        <v>2</v>
      </c>
      <c r="F1260" s="23" t="s">
        <v>2</v>
      </c>
      <c r="G1260" s="29"/>
    </row>
    <row r="1261" spans="1:7" x14ac:dyDescent="0.25">
      <c r="A1261" s="23" t="s">
        <v>2047</v>
      </c>
      <c r="B1261" s="23" t="s">
        <v>2</v>
      </c>
      <c r="C1261" s="32">
        <v>22012.06</v>
      </c>
      <c r="D1261" s="32">
        <v>11805.67</v>
      </c>
      <c r="E1261" s="32">
        <f>E1253+E1259</f>
        <v>24280</v>
      </c>
      <c r="F1261" s="32">
        <f>F1253+F1259</f>
        <v>0</v>
      </c>
      <c r="G1261" s="29"/>
    </row>
    <row r="1262" spans="1:7" ht="15" customHeight="1" x14ac:dyDescent="0.25">
      <c r="A1262" s="1" t="s">
        <v>740</v>
      </c>
      <c r="B1262" s="1" t="s">
        <v>2</v>
      </c>
    </row>
    <row r="1263" spans="1:7" ht="15" customHeight="1" x14ac:dyDescent="0.25">
      <c r="A1263" s="1" t="s">
        <v>706</v>
      </c>
      <c r="B1263" s="1" t="s">
        <v>2</v>
      </c>
    </row>
    <row r="1264" spans="1:7" ht="15" customHeight="1" x14ac:dyDescent="0.25">
      <c r="A1264" s="2" t="s">
        <v>1062</v>
      </c>
      <c r="B1264" s="2" t="s">
        <v>742</v>
      </c>
      <c r="C1264" s="3">
        <v>25000</v>
      </c>
      <c r="D1264" s="3">
        <v>0</v>
      </c>
      <c r="E1264" s="3">
        <v>25000</v>
      </c>
      <c r="F1264" s="5">
        <v>0</v>
      </c>
    </row>
    <row r="1265" spans="1:7" ht="15" customHeight="1" x14ac:dyDescent="0.25">
      <c r="A1265" s="1" t="s">
        <v>737</v>
      </c>
      <c r="B1265" s="1" t="s">
        <v>2</v>
      </c>
      <c r="C1265" s="4">
        <v>25000</v>
      </c>
      <c r="D1265" s="4">
        <v>0</v>
      </c>
      <c r="E1265" s="6">
        <f>SUM(E1264)</f>
        <v>25000</v>
      </c>
      <c r="F1265" s="6">
        <f>SUM(F1264)</f>
        <v>0</v>
      </c>
    </row>
    <row r="1266" spans="1:7" x14ac:dyDescent="0.25">
      <c r="A1266" s="1" t="s">
        <v>2</v>
      </c>
      <c r="B1266" s="1" t="s">
        <v>2</v>
      </c>
      <c r="C1266" s="1" t="s">
        <v>2</v>
      </c>
      <c r="D1266" s="1" t="s">
        <v>2</v>
      </c>
      <c r="E1266" s="1" t="s">
        <v>2</v>
      </c>
      <c r="F1266" s="1" t="s">
        <v>2</v>
      </c>
    </row>
    <row r="1267" spans="1:7" ht="15" customHeight="1" x14ac:dyDescent="0.25">
      <c r="A1267" s="1" t="s">
        <v>1063</v>
      </c>
      <c r="B1267" s="1" t="s">
        <v>2</v>
      </c>
      <c r="C1267" s="4">
        <v>25000</v>
      </c>
      <c r="D1267" s="4">
        <v>0</v>
      </c>
      <c r="E1267" s="6">
        <f>E1265</f>
        <v>25000</v>
      </c>
      <c r="F1267" s="6">
        <f>F1265</f>
        <v>0</v>
      </c>
    </row>
    <row r="1268" spans="1:7" ht="15" customHeight="1" x14ac:dyDescent="0.25">
      <c r="A1268" s="25" t="s">
        <v>2733</v>
      </c>
      <c r="B1268" s="25"/>
      <c r="C1268" s="33">
        <f>C1246+C1261-C1267</f>
        <v>5259.25</v>
      </c>
      <c r="D1268" s="33">
        <f t="shared" ref="D1268:F1268" si="9">D1246+D1261-D1267</f>
        <v>17064.919999999998</v>
      </c>
      <c r="E1268" s="33">
        <f t="shared" si="9"/>
        <v>4539.25</v>
      </c>
      <c r="F1268" s="33">
        <f t="shared" si="9"/>
        <v>4539.25</v>
      </c>
      <c r="G1268" s="25"/>
    </row>
    <row r="1269" spans="1:7" x14ac:dyDescent="0.25">
      <c r="A1269" s="1" t="s">
        <v>2</v>
      </c>
      <c r="B1269" s="1" t="s">
        <v>2</v>
      </c>
      <c r="C1269" s="1" t="s">
        <v>2</v>
      </c>
      <c r="D1269" s="1" t="s">
        <v>2</v>
      </c>
      <c r="E1269" s="1" t="s">
        <v>2</v>
      </c>
      <c r="F1269" s="1" t="s">
        <v>2</v>
      </c>
    </row>
    <row r="1270" spans="1:7" ht="15" customHeight="1" x14ac:dyDescent="0.25">
      <c r="A1270" s="27" t="s">
        <v>2734</v>
      </c>
      <c r="B1270" s="27"/>
      <c r="C1270" s="28">
        <v>116792.05</v>
      </c>
      <c r="D1270" s="28">
        <v>182620.85</v>
      </c>
      <c r="E1270" s="28">
        <v>182620.85</v>
      </c>
      <c r="F1270" s="28">
        <f>E1287</f>
        <v>172620.84999999998</v>
      </c>
      <c r="G1270" s="27"/>
    </row>
    <row r="1271" spans="1:7" x14ac:dyDescent="0.25">
      <c r="A1271" s="23" t="s">
        <v>1064</v>
      </c>
      <c r="B1271" s="23" t="s">
        <v>2</v>
      </c>
      <c r="C1271" s="29"/>
      <c r="D1271" s="29"/>
      <c r="E1271" s="29"/>
      <c r="F1271" s="29"/>
      <c r="G1271" s="29"/>
    </row>
    <row r="1272" spans="1:7" x14ac:dyDescent="0.25">
      <c r="A1272" s="23" t="s">
        <v>2026</v>
      </c>
      <c r="B1272" s="23" t="s">
        <v>2</v>
      </c>
      <c r="C1272" s="29"/>
      <c r="D1272" s="29"/>
      <c r="E1272" s="29"/>
      <c r="F1272" s="29"/>
      <c r="G1272" s="29"/>
    </row>
    <row r="1273" spans="1:7" x14ac:dyDescent="0.25">
      <c r="A1273" s="23" t="s">
        <v>2027</v>
      </c>
      <c r="B1273" s="23" t="s">
        <v>2</v>
      </c>
      <c r="C1273" s="29"/>
      <c r="D1273" s="29"/>
      <c r="E1273" s="29"/>
      <c r="F1273" s="29"/>
      <c r="G1273" s="29"/>
    </row>
    <row r="1274" spans="1:7" x14ac:dyDescent="0.25">
      <c r="A1274" s="30" t="s">
        <v>2735</v>
      </c>
      <c r="B1274" s="30" t="s">
        <v>2736</v>
      </c>
      <c r="C1274" s="31">
        <v>335828.8</v>
      </c>
      <c r="D1274" s="31">
        <v>152774.37</v>
      </c>
      <c r="E1274" s="31">
        <v>260000</v>
      </c>
      <c r="F1274" s="31">
        <v>0</v>
      </c>
      <c r="G1274" s="29"/>
    </row>
    <row r="1275" spans="1:7" x14ac:dyDescent="0.25">
      <c r="A1275" s="23" t="s">
        <v>2046</v>
      </c>
      <c r="B1275" s="23" t="s">
        <v>2</v>
      </c>
      <c r="C1275" s="32">
        <v>335828.8</v>
      </c>
      <c r="D1275" s="32">
        <v>152774.37</v>
      </c>
      <c r="E1275" s="32">
        <f>SUM(E1274)</f>
        <v>260000</v>
      </c>
      <c r="F1275" s="32">
        <f>SUM(F1274)</f>
        <v>0</v>
      </c>
      <c r="G1275" s="29"/>
    </row>
    <row r="1276" spans="1:7" x14ac:dyDescent="0.25">
      <c r="A1276" s="23" t="s">
        <v>2</v>
      </c>
      <c r="B1276" s="23" t="s">
        <v>2</v>
      </c>
      <c r="C1276" s="23" t="s">
        <v>2</v>
      </c>
      <c r="D1276" s="23" t="s">
        <v>2</v>
      </c>
      <c r="E1276" s="23" t="s">
        <v>2</v>
      </c>
      <c r="F1276" s="23" t="s">
        <v>2</v>
      </c>
      <c r="G1276" s="29"/>
    </row>
    <row r="1277" spans="1:7" x14ac:dyDescent="0.25">
      <c r="A1277" s="23" t="s">
        <v>2175</v>
      </c>
      <c r="B1277" s="23" t="s">
        <v>2</v>
      </c>
      <c r="C1277" s="29"/>
      <c r="D1277" s="29"/>
      <c r="E1277" s="29"/>
      <c r="F1277" s="29"/>
      <c r="G1277" s="29"/>
    </row>
    <row r="1278" spans="1:7" x14ac:dyDescent="0.25">
      <c r="A1278" s="23" t="s">
        <v>2176</v>
      </c>
      <c r="B1278" s="23" t="s">
        <v>2</v>
      </c>
      <c r="C1278" s="29"/>
      <c r="D1278" s="29"/>
      <c r="E1278" s="29"/>
      <c r="F1278" s="29"/>
      <c r="G1278" s="29"/>
    </row>
    <row r="1279" spans="1:7" x14ac:dyDescent="0.25">
      <c r="A1279" s="23" t="s">
        <v>2570</v>
      </c>
      <c r="B1279" s="23" t="s">
        <v>2</v>
      </c>
      <c r="C1279" s="29"/>
      <c r="D1279" s="29"/>
      <c r="E1279" s="29"/>
      <c r="F1279" s="29"/>
      <c r="G1279" s="29"/>
    </row>
    <row r="1280" spans="1:7" x14ac:dyDescent="0.25">
      <c r="A1280" s="30" t="s">
        <v>2737</v>
      </c>
      <c r="B1280" s="30" t="s">
        <v>2409</v>
      </c>
      <c r="C1280" s="31">
        <v>0</v>
      </c>
      <c r="D1280" s="31">
        <v>0</v>
      </c>
      <c r="E1280" s="31">
        <v>0</v>
      </c>
      <c r="F1280" s="31">
        <v>0</v>
      </c>
      <c r="G1280" s="29"/>
    </row>
    <row r="1281" spans="1:7" x14ac:dyDescent="0.25">
      <c r="A1281" s="23" t="s">
        <v>2564</v>
      </c>
      <c r="B1281" s="23" t="s">
        <v>2</v>
      </c>
      <c r="C1281" s="32">
        <v>0</v>
      </c>
      <c r="D1281" s="32">
        <v>0</v>
      </c>
      <c r="E1281" s="32">
        <f>SUM(E1280)</f>
        <v>0</v>
      </c>
      <c r="F1281" s="32">
        <f>SUM(F1280)</f>
        <v>0</v>
      </c>
      <c r="G1281" s="29"/>
    </row>
    <row r="1282" spans="1:7" x14ac:dyDescent="0.25">
      <c r="A1282" s="23" t="s">
        <v>2</v>
      </c>
      <c r="B1282" s="23" t="s">
        <v>2</v>
      </c>
      <c r="C1282" s="23" t="s">
        <v>2</v>
      </c>
      <c r="D1282" s="23" t="s">
        <v>2</v>
      </c>
      <c r="E1282" s="23" t="s">
        <v>2</v>
      </c>
      <c r="F1282" s="23" t="s">
        <v>2</v>
      </c>
      <c r="G1282" s="29"/>
    </row>
    <row r="1283" spans="1:7" x14ac:dyDescent="0.25">
      <c r="A1283" s="23" t="s">
        <v>2047</v>
      </c>
      <c r="B1283" s="23" t="s">
        <v>2</v>
      </c>
      <c r="C1283" s="32">
        <v>335828.8</v>
      </c>
      <c r="D1283" s="32">
        <v>152774.37</v>
      </c>
      <c r="E1283" s="32">
        <f>E1275+E1281</f>
        <v>260000</v>
      </c>
      <c r="F1283" s="32">
        <f>F1275+F1281</f>
        <v>0</v>
      </c>
      <c r="G1283" s="29"/>
    </row>
    <row r="1284" spans="1:7" ht="15" customHeight="1" x14ac:dyDescent="0.25">
      <c r="A1284" s="1" t="s">
        <v>740</v>
      </c>
      <c r="B1284" s="1" t="s">
        <v>2</v>
      </c>
      <c r="C1284" s="40"/>
    </row>
    <row r="1285" spans="1:7" ht="15" customHeight="1" x14ac:dyDescent="0.25">
      <c r="A1285" s="2" t="s">
        <v>1065</v>
      </c>
      <c r="B1285" s="2" t="s">
        <v>1066</v>
      </c>
      <c r="C1285" s="3">
        <v>270000</v>
      </c>
      <c r="D1285" s="3">
        <v>0</v>
      </c>
      <c r="E1285" s="3">
        <v>270000</v>
      </c>
      <c r="F1285" s="5">
        <v>0</v>
      </c>
    </row>
    <row r="1286" spans="1:7" ht="15" customHeight="1" x14ac:dyDescent="0.25">
      <c r="A1286" s="1" t="s">
        <v>1067</v>
      </c>
      <c r="B1286" s="1" t="s">
        <v>2</v>
      </c>
      <c r="C1286" s="4">
        <v>270000</v>
      </c>
      <c r="D1286" s="4">
        <v>0</v>
      </c>
      <c r="E1286" s="6">
        <f>SUM(E1285)</f>
        <v>270000</v>
      </c>
      <c r="F1286" s="6">
        <f>SUM(F1285)</f>
        <v>0</v>
      </c>
    </row>
    <row r="1287" spans="1:7" ht="15" customHeight="1" x14ac:dyDescent="0.25">
      <c r="A1287" s="25" t="s">
        <v>2738</v>
      </c>
      <c r="B1287" s="25"/>
      <c r="C1287" s="33">
        <f>C1270+C1283-C1286</f>
        <v>182620.84999999998</v>
      </c>
      <c r="D1287" s="33">
        <f t="shared" ref="D1287:F1287" si="10">D1270+D1283-D1286</f>
        <v>335395.21999999997</v>
      </c>
      <c r="E1287" s="33">
        <f t="shared" si="10"/>
        <v>172620.84999999998</v>
      </c>
      <c r="F1287" s="33">
        <f t="shared" si="10"/>
        <v>172620.84999999998</v>
      </c>
      <c r="G1287" s="25"/>
    </row>
    <row r="1288" spans="1:7" x14ac:dyDescent="0.25">
      <c r="A1288" s="2" t="s">
        <v>2</v>
      </c>
      <c r="B1288" s="2" t="s">
        <v>2</v>
      </c>
      <c r="C1288" s="2" t="s">
        <v>2</v>
      </c>
      <c r="D1288" s="2" t="s">
        <v>2</v>
      </c>
      <c r="E1288" s="2" t="s">
        <v>2</v>
      </c>
      <c r="F1288" s="2" t="s">
        <v>2</v>
      </c>
    </row>
    <row r="1289" spans="1:7" ht="15" customHeight="1" x14ac:dyDescent="0.25">
      <c r="A1289" s="27" t="s">
        <v>2739</v>
      </c>
      <c r="B1289" s="27"/>
      <c r="C1289" s="28">
        <v>1220230.1399999999</v>
      </c>
      <c r="D1289" s="28">
        <v>2018727.03</v>
      </c>
      <c r="E1289" s="28">
        <v>2018727.03</v>
      </c>
      <c r="F1289" s="28">
        <f>E1310</f>
        <v>2017550.56</v>
      </c>
      <c r="G1289" s="27"/>
    </row>
    <row r="1290" spans="1:7" x14ac:dyDescent="0.25">
      <c r="A1290" s="23" t="s">
        <v>1068</v>
      </c>
      <c r="B1290" s="23" t="s">
        <v>2</v>
      </c>
      <c r="C1290" s="29"/>
      <c r="D1290" s="29"/>
      <c r="E1290" s="29"/>
      <c r="F1290" s="29"/>
      <c r="G1290" s="29"/>
    </row>
    <row r="1291" spans="1:7" x14ac:dyDescent="0.25">
      <c r="A1291" s="23" t="s">
        <v>2026</v>
      </c>
      <c r="B1291" s="23" t="s">
        <v>2</v>
      </c>
      <c r="C1291" s="29"/>
      <c r="D1291" s="29"/>
      <c r="E1291" s="29"/>
      <c r="F1291" s="29"/>
      <c r="G1291" s="29"/>
    </row>
    <row r="1292" spans="1:7" x14ac:dyDescent="0.25">
      <c r="A1292" s="23" t="s">
        <v>2740</v>
      </c>
      <c r="B1292" s="23" t="s">
        <v>2</v>
      </c>
      <c r="C1292" s="29"/>
      <c r="D1292" s="29"/>
      <c r="E1292" s="29"/>
      <c r="F1292" s="29"/>
      <c r="G1292" s="29"/>
    </row>
    <row r="1293" spans="1:7" x14ac:dyDescent="0.25">
      <c r="A1293" s="30" t="s">
        <v>2741</v>
      </c>
      <c r="B1293" s="30" t="s">
        <v>2742</v>
      </c>
      <c r="C1293" s="31">
        <v>797413.04</v>
      </c>
      <c r="D1293" s="31">
        <v>365351.81</v>
      </c>
      <c r="E1293" s="31">
        <v>658823.53</v>
      </c>
      <c r="F1293" s="31">
        <v>0</v>
      </c>
      <c r="G1293" s="29"/>
    </row>
    <row r="1294" spans="1:7" x14ac:dyDescent="0.25">
      <c r="A1294" s="23" t="s">
        <v>2743</v>
      </c>
      <c r="B1294" s="23" t="s">
        <v>2</v>
      </c>
      <c r="C1294" s="32">
        <v>797413.04</v>
      </c>
      <c r="D1294" s="32">
        <v>365351.81</v>
      </c>
      <c r="E1294" s="32">
        <f>SUM(E1293)</f>
        <v>658823.53</v>
      </c>
      <c r="F1294" s="32">
        <f>SUM(F1293)</f>
        <v>0</v>
      </c>
      <c r="G1294" s="29"/>
    </row>
    <row r="1295" spans="1:7" x14ac:dyDescent="0.25">
      <c r="A1295" s="23" t="s">
        <v>2</v>
      </c>
      <c r="B1295" s="23" t="s">
        <v>2</v>
      </c>
      <c r="C1295" s="23" t="s">
        <v>2</v>
      </c>
      <c r="D1295" s="23" t="s">
        <v>2</v>
      </c>
      <c r="E1295" s="23" t="s">
        <v>2</v>
      </c>
      <c r="F1295" s="23" t="s">
        <v>2</v>
      </c>
      <c r="G1295" s="29"/>
    </row>
    <row r="1296" spans="1:7" x14ac:dyDescent="0.25">
      <c r="A1296" s="23" t="s">
        <v>2175</v>
      </c>
      <c r="B1296" s="23" t="s">
        <v>2</v>
      </c>
      <c r="C1296" s="29"/>
      <c r="D1296" s="29"/>
      <c r="E1296" s="29"/>
      <c r="F1296" s="29"/>
      <c r="G1296" s="29"/>
    </row>
    <row r="1297" spans="1:7" x14ac:dyDescent="0.25">
      <c r="A1297" s="23" t="s">
        <v>2176</v>
      </c>
      <c r="B1297" s="23" t="s">
        <v>2</v>
      </c>
      <c r="C1297" s="29"/>
      <c r="D1297" s="29"/>
      <c r="E1297" s="29"/>
      <c r="F1297" s="29"/>
      <c r="G1297" s="29"/>
    </row>
    <row r="1298" spans="1:7" x14ac:dyDescent="0.25">
      <c r="A1298" s="30" t="s">
        <v>2744</v>
      </c>
      <c r="B1298" s="30" t="s">
        <v>2409</v>
      </c>
      <c r="C1298" s="31">
        <v>1083.8499999999999</v>
      </c>
      <c r="D1298" s="31">
        <v>1000.63</v>
      </c>
      <c r="E1298" s="31">
        <v>0</v>
      </c>
      <c r="F1298" s="31">
        <v>0</v>
      </c>
      <c r="G1298" s="29"/>
    </row>
    <row r="1299" spans="1:7" x14ac:dyDescent="0.25">
      <c r="A1299" s="30" t="s">
        <v>2745</v>
      </c>
      <c r="B1299" s="30" t="s">
        <v>2746</v>
      </c>
      <c r="C1299" s="31">
        <v>0</v>
      </c>
      <c r="D1299" s="31">
        <v>0</v>
      </c>
      <c r="E1299" s="31">
        <v>0</v>
      </c>
      <c r="F1299" s="31">
        <v>0</v>
      </c>
      <c r="G1299" s="29"/>
    </row>
    <row r="1300" spans="1:7" x14ac:dyDescent="0.25">
      <c r="A1300" s="30" t="s">
        <v>2747</v>
      </c>
      <c r="B1300" s="30" t="s">
        <v>2748</v>
      </c>
      <c r="C1300" s="31">
        <v>0</v>
      </c>
      <c r="D1300" s="31">
        <v>0</v>
      </c>
      <c r="E1300" s="31">
        <v>0</v>
      </c>
      <c r="F1300" s="31">
        <v>0</v>
      </c>
      <c r="G1300" s="29"/>
    </row>
    <row r="1301" spans="1:7" x14ac:dyDescent="0.25">
      <c r="A1301" s="23" t="s">
        <v>2179</v>
      </c>
      <c r="B1301" s="23" t="s">
        <v>2</v>
      </c>
      <c r="C1301" s="32">
        <v>1083.8499999999999</v>
      </c>
      <c r="D1301" s="32">
        <v>1000.63</v>
      </c>
      <c r="E1301" s="32">
        <f>SUM(E1298:E1300)</f>
        <v>0</v>
      </c>
      <c r="F1301" s="32">
        <f>SUM(F1298:F1300)</f>
        <v>0</v>
      </c>
      <c r="G1301" s="29"/>
    </row>
    <row r="1302" spans="1:7" x14ac:dyDescent="0.25">
      <c r="A1302" s="23"/>
      <c r="B1302" s="23"/>
      <c r="C1302" s="32"/>
      <c r="D1302" s="32"/>
      <c r="E1302" s="32"/>
      <c r="F1302" s="32"/>
      <c r="G1302" s="29"/>
    </row>
    <row r="1303" spans="1:7" x14ac:dyDescent="0.25">
      <c r="A1303" s="23" t="s">
        <v>2047</v>
      </c>
      <c r="B1303" s="23" t="s">
        <v>2</v>
      </c>
      <c r="C1303" s="32">
        <v>798496.89</v>
      </c>
      <c r="D1303" s="32">
        <v>366352.44</v>
      </c>
      <c r="E1303" s="32">
        <f>E1301+E1294</f>
        <v>658823.53</v>
      </c>
      <c r="F1303" s="32">
        <f>F1301+F1294</f>
        <v>0</v>
      </c>
      <c r="G1303" s="29"/>
    </row>
    <row r="1304" spans="1:7" ht="15" customHeight="1" x14ac:dyDescent="0.25">
      <c r="A1304" s="1" t="s">
        <v>740</v>
      </c>
      <c r="B1304" s="1" t="s">
        <v>2</v>
      </c>
    </row>
    <row r="1305" spans="1:7" ht="15" customHeight="1" x14ac:dyDescent="0.25">
      <c r="A1305" s="2" t="s">
        <v>1069</v>
      </c>
      <c r="B1305" s="2" t="s">
        <v>1070</v>
      </c>
      <c r="C1305" s="3">
        <v>0</v>
      </c>
      <c r="D1305" s="3">
        <v>0</v>
      </c>
      <c r="E1305" s="3">
        <v>0</v>
      </c>
      <c r="F1305" s="5">
        <v>0</v>
      </c>
    </row>
    <row r="1306" spans="1:7" ht="15" customHeight="1" x14ac:dyDescent="0.25">
      <c r="A1306" s="2" t="s">
        <v>1071</v>
      </c>
      <c r="B1306" s="2" t="s">
        <v>1072</v>
      </c>
      <c r="C1306" s="3">
        <v>0</v>
      </c>
      <c r="D1306" s="3">
        <v>0</v>
      </c>
      <c r="E1306" s="3">
        <v>250000</v>
      </c>
      <c r="F1306" s="5">
        <v>0</v>
      </c>
    </row>
    <row r="1307" spans="1:7" x14ac:dyDescent="0.25">
      <c r="A1307" s="2" t="s">
        <v>1073</v>
      </c>
      <c r="B1307" s="2" t="s">
        <v>1074</v>
      </c>
      <c r="C1307" s="3">
        <v>0</v>
      </c>
      <c r="D1307" s="3">
        <v>0</v>
      </c>
      <c r="E1307" s="3">
        <v>350000</v>
      </c>
      <c r="F1307" s="5">
        <v>0</v>
      </c>
    </row>
    <row r="1308" spans="1:7" x14ac:dyDescent="0.25">
      <c r="A1308" s="2" t="s">
        <v>1075</v>
      </c>
      <c r="B1308" s="2" t="s">
        <v>1076</v>
      </c>
      <c r="C1308" s="3">
        <v>0</v>
      </c>
      <c r="D1308" s="3">
        <v>0</v>
      </c>
      <c r="E1308" s="3">
        <v>60000</v>
      </c>
      <c r="F1308" s="5">
        <v>0</v>
      </c>
    </row>
    <row r="1309" spans="1:7" ht="15" customHeight="1" x14ac:dyDescent="0.25">
      <c r="A1309" s="1" t="s">
        <v>1077</v>
      </c>
      <c r="B1309" s="1" t="s">
        <v>2</v>
      </c>
      <c r="C1309" s="4">
        <v>0</v>
      </c>
      <c r="D1309" s="4">
        <v>0</v>
      </c>
      <c r="E1309" s="6">
        <f>SUM(E1305:E1308)</f>
        <v>660000</v>
      </c>
      <c r="F1309" s="6">
        <f>SUM(F1305:F1308)</f>
        <v>0</v>
      </c>
    </row>
    <row r="1310" spans="1:7" ht="15" customHeight="1" x14ac:dyDescent="0.25">
      <c r="A1310" s="25" t="s">
        <v>2749</v>
      </c>
      <c r="B1310" s="25" t="s">
        <v>2</v>
      </c>
      <c r="C1310" s="33">
        <f>C1289+C1303-C1309</f>
        <v>2018727.0299999998</v>
      </c>
      <c r="D1310" s="33">
        <f t="shared" ref="D1310:F1310" si="11">D1289+D1303-D1309</f>
        <v>2385079.4700000002</v>
      </c>
      <c r="E1310" s="33">
        <f t="shared" si="11"/>
        <v>2017550.56</v>
      </c>
      <c r="F1310" s="33">
        <f t="shared" si="11"/>
        <v>2017550.56</v>
      </c>
      <c r="G1310" s="25"/>
    </row>
    <row r="1311" spans="1:7" x14ac:dyDescent="0.25">
      <c r="A1311" s="1" t="s">
        <v>2</v>
      </c>
      <c r="B1311" s="1" t="s">
        <v>2</v>
      </c>
      <c r="C1311" s="1" t="s">
        <v>2</v>
      </c>
      <c r="D1311" s="1" t="s">
        <v>2</v>
      </c>
      <c r="E1311" s="1" t="s">
        <v>2</v>
      </c>
      <c r="F1311" s="1" t="s">
        <v>2</v>
      </c>
    </row>
    <row r="1312" spans="1:7" ht="15" customHeight="1" x14ac:dyDescent="0.25">
      <c r="A1312" s="27" t="s">
        <v>2750</v>
      </c>
      <c r="B1312" s="27"/>
      <c r="C1312" s="28">
        <v>9545.36</v>
      </c>
      <c r="D1312" s="28">
        <v>0</v>
      </c>
      <c r="E1312" s="28">
        <v>0</v>
      </c>
      <c r="F1312" s="28">
        <f>E1326</f>
        <v>0</v>
      </c>
      <c r="G1312" s="27"/>
    </row>
    <row r="1313" spans="1:7" x14ac:dyDescent="0.25">
      <c r="A1313" s="23" t="s">
        <v>1078</v>
      </c>
      <c r="B1313" s="23" t="s">
        <v>2</v>
      </c>
      <c r="C1313" s="29"/>
      <c r="D1313" s="29"/>
      <c r="E1313" s="29"/>
      <c r="F1313" s="29"/>
      <c r="G1313" s="29"/>
    </row>
    <row r="1314" spans="1:7" x14ac:dyDescent="0.25">
      <c r="A1314" s="23" t="s">
        <v>2026</v>
      </c>
      <c r="B1314" s="23" t="s">
        <v>2</v>
      </c>
      <c r="C1314" s="29"/>
      <c r="D1314" s="29"/>
      <c r="E1314" s="29"/>
      <c r="F1314" s="29"/>
      <c r="G1314" s="29"/>
    </row>
    <row r="1315" spans="1:7" x14ac:dyDescent="0.25">
      <c r="A1315" s="30" t="s">
        <v>2751</v>
      </c>
      <c r="B1315" s="30" t="s">
        <v>2752</v>
      </c>
      <c r="C1315" s="31">
        <v>0</v>
      </c>
      <c r="D1315" s="31">
        <v>0</v>
      </c>
      <c r="E1315" s="31">
        <v>0</v>
      </c>
      <c r="F1315" s="31">
        <v>0</v>
      </c>
      <c r="G1315" s="29"/>
    </row>
    <row r="1316" spans="1:7" x14ac:dyDescent="0.25">
      <c r="A1316" s="23" t="s">
        <v>2047</v>
      </c>
      <c r="B1316" s="23" t="s">
        <v>2</v>
      </c>
      <c r="C1316" s="32">
        <v>0</v>
      </c>
      <c r="D1316" s="32">
        <v>0</v>
      </c>
      <c r="E1316" s="32">
        <f>SUM(E1315)</f>
        <v>0</v>
      </c>
      <c r="F1316" s="32">
        <f>SUM(F1315)</f>
        <v>0</v>
      </c>
      <c r="G1316" s="29"/>
    </row>
    <row r="1317" spans="1:7" x14ac:dyDescent="0.25">
      <c r="A1317" s="1" t="s">
        <v>740</v>
      </c>
      <c r="B1317" s="1" t="s">
        <v>2</v>
      </c>
    </row>
    <row r="1318" spans="1:7" ht="15" customHeight="1" x14ac:dyDescent="0.25">
      <c r="A1318" s="2" t="s">
        <v>1079</v>
      </c>
      <c r="B1318" s="2" t="s">
        <v>1080</v>
      </c>
      <c r="C1318" s="3">
        <v>0</v>
      </c>
      <c r="D1318" s="3">
        <v>0</v>
      </c>
      <c r="E1318" s="3">
        <v>0</v>
      </c>
      <c r="F1318" s="5">
        <v>0</v>
      </c>
    </row>
    <row r="1319" spans="1:7" ht="15" customHeight="1" x14ac:dyDescent="0.25">
      <c r="A1319" s="2" t="s">
        <v>1081</v>
      </c>
      <c r="B1319" s="2" t="s">
        <v>1082</v>
      </c>
      <c r="C1319" s="3">
        <v>5239.12</v>
      </c>
      <c r="D1319" s="3">
        <v>0</v>
      </c>
      <c r="E1319" s="3">
        <v>0</v>
      </c>
      <c r="F1319" s="5">
        <v>0</v>
      </c>
    </row>
    <row r="1320" spans="1:7" ht="15" customHeight="1" x14ac:dyDescent="0.25">
      <c r="A1320" s="2" t="s">
        <v>1083</v>
      </c>
      <c r="B1320" s="2" t="s">
        <v>1084</v>
      </c>
      <c r="C1320" s="3">
        <v>4306.24</v>
      </c>
      <c r="D1320" s="3">
        <v>0</v>
      </c>
      <c r="E1320" s="3">
        <v>0</v>
      </c>
      <c r="F1320" s="5">
        <v>0</v>
      </c>
    </row>
    <row r="1321" spans="1:7" ht="15" customHeight="1" x14ac:dyDescent="0.25">
      <c r="A1321" s="2" t="s">
        <v>1085</v>
      </c>
      <c r="B1321" s="2" t="s">
        <v>1086</v>
      </c>
      <c r="C1321" s="3">
        <v>0</v>
      </c>
      <c r="D1321" s="3">
        <v>0</v>
      </c>
      <c r="E1321" s="3">
        <v>0</v>
      </c>
      <c r="F1321" s="5">
        <v>0</v>
      </c>
    </row>
    <row r="1322" spans="1:7" ht="15" customHeight="1" x14ac:dyDescent="0.25">
      <c r="A1322" s="2" t="s">
        <v>1087</v>
      </c>
      <c r="B1322" s="2" t="s">
        <v>1088</v>
      </c>
      <c r="C1322" s="3">
        <v>0</v>
      </c>
      <c r="D1322" s="3">
        <v>0</v>
      </c>
      <c r="E1322" s="3">
        <v>0</v>
      </c>
      <c r="F1322" s="5">
        <v>0</v>
      </c>
    </row>
    <row r="1323" spans="1:7" ht="15" customHeight="1" x14ac:dyDescent="0.25">
      <c r="A1323" s="2" t="s">
        <v>1089</v>
      </c>
      <c r="B1323" s="2" t="s">
        <v>1090</v>
      </c>
      <c r="C1323" s="3">
        <v>0</v>
      </c>
      <c r="D1323" s="3">
        <v>0</v>
      </c>
      <c r="E1323" s="3">
        <v>0</v>
      </c>
      <c r="F1323" s="5">
        <v>0</v>
      </c>
    </row>
    <row r="1324" spans="1:7" ht="15" customHeight="1" x14ac:dyDescent="0.25">
      <c r="A1324" s="2" t="s">
        <v>1091</v>
      </c>
      <c r="B1324" s="2" t="s">
        <v>1092</v>
      </c>
      <c r="C1324" s="3">
        <v>0</v>
      </c>
      <c r="D1324" s="3">
        <v>0</v>
      </c>
      <c r="E1324" s="3">
        <v>0</v>
      </c>
      <c r="F1324" s="5">
        <v>0</v>
      </c>
    </row>
    <row r="1325" spans="1:7" ht="15" customHeight="1" x14ac:dyDescent="0.25">
      <c r="A1325" s="1" t="s">
        <v>1093</v>
      </c>
      <c r="B1325" s="1" t="s">
        <v>2</v>
      </c>
      <c r="C1325" s="4">
        <v>9545.36</v>
      </c>
      <c r="D1325" s="4">
        <v>0</v>
      </c>
      <c r="E1325" s="6">
        <f>SUM(E1318:E1324)</f>
        <v>0</v>
      </c>
      <c r="F1325" s="6">
        <f>SUM(F1318:F1324)</f>
        <v>0</v>
      </c>
    </row>
    <row r="1326" spans="1:7" ht="15" customHeight="1" x14ac:dyDescent="0.25">
      <c r="A1326" s="25" t="s">
        <v>2753</v>
      </c>
      <c r="B1326" s="25"/>
      <c r="C1326" s="33">
        <f>C1312+C1316-C1325</f>
        <v>0</v>
      </c>
      <c r="D1326" s="33">
        <f t="shared" ref="D1326:F1326" si="12">D1312+D1316-D1325</f>
        <v>0</v>
      </c>
      <c r="E1326" s="33">
        <f t="shared" si="12"/>
        <v>0</v>
      </c>
      <c r="F1326" s="33">
        <f t="shared" si="12"/>
        <v>0</v>
      </c>
      <c r="G1326" s="25"/>
    </row>
    <row r="1327" spans="1:7" x14ac:dyDescent="0.25">
      <c r="A1327" s="1" t="s">
        <v>2</v>
      </c>
      <c r="B1327" s="1" t="s">
        <v>2</v>
      </c>
      <c r="C1327" s="1" t="s">
        <v>2</v>
      </c>
      <c r="D1327" s="1" t="s">
        <v>2</v>
      </c>
      <c r="E1327" s="1" t="s">
        <v>2</v>
      </c>
      <c r="F1327" s="1" t="s">
        <v>2</v>
      </c>
    </row>
    <row r="1328" spans="1:7" ht="15" customHeight="1" x14ac:dyDescent="0.25">
      <c r="A1328" s="27" t="s">
        <v>2755</v>
      </c>
      <c r="B1328" s="27"/>
      <c r="C1328" s="28">
        <v>0</v>
      </c>
      <c r="D1328" s="28">
        <v>2015757.68</v>
      </c>
      <c r="E1328" s="28">
        <v>2015757.68</v>
      </c>
      <c r="F1328" s="28">
        <f>E1344</f>
        <v>2094991.6399999997</v>
      </c>
      <c r="G1328" s="27"/>
    </row>
    <row r="1329" spans="1:10" x14ac:dyDescent="0.25">
      <c r="A1329" s="23" t="s">
        <v>1094</v>
      </c>
      <c r="B1329" s="23" t="s">
        <v>2</v>
      </c>
      <c r="C1329" s="29"/>
      <c r="D1329" s="29"/>
      <c r="E1329" s="29"/>
      <c r="F1329" s="29"/>
      <c r="G1329" s="29"/>
    </row>
    <row r="1330" spans="1:10" x14ac:dyDescent="0.25">
      <c r="A1330" s="30" t="s">
        <v>2756</v>
      </c>
      <c r="B1330" s="30" t="s">
        <v>2110</v>
      </c>
      <c r="C1330" s="31">
        <v>2081265</v>
      </c>
      <c r="D1330" s="31">
        <v>0</v>
      </c>
      <c r="E1330" s="31">
        <v>2079234</v>
      </c>
      <c r="F1330" s="31">
        <v>0</v>
      </c>
      <c r="G1330" s="29"/>
    </row>
    <row r="1331" spans="1:10" x14ac:dyDescent="0.25">
      <c r="A1331" s="23" t="s">
        <v>2047</v>
      </c>
      <c r="B1331" s="23" t="s">
        <v>2</v>
      </c>
      <c r="C1331" s="32">
        <v>2081265</v>
      </c>
      <c r="D1331" s="32">
        <v>0</v>
      </c>
      <c r="E1331" s="32">
        <f>SUM(E1330)</f>
        <v>2079234</v>
      </c>
      <c r="F1331" s="32">
        <f>SUM(F1330)</f>
        <v>0</v>
      </c>
      <c r="G1331" s="29"/>
    </row>
    <row r="1332" spans="1:10" ht="15" customHeight="1" x14ac:dyDescent="0.25">
      <c r="A1332" s="1" t="s">
        <v>740</v>
      </c>
      <c r="B1332" s="1" t="s">
        <v>2</v>
      </c>
    </row>
    <row r="1333" spans="1:10" x14ac:dyDescent="0.25">
      <c r="A1333" s="2" t="s">
        <v>1096</v>
      </c>
      <c r="B1333" s="2" t="s">
        <v>1097</v>
      </c>
      <c r="C1333" s="3">
        <v>0</v>
      </c>
      <c r="D1333" s="3">
        <v>200000</v>
      </c>
      <c r="E1333" s="3">
        <v>200000</v>
      </c>
      <c r="F1333" s="5">
        <v>0</v>
      </c>
    </row>
    <row r="1334" spans="1:10" ht="15" customHeight="1" x14ac:dyDescent="0.25">
      <c r="A1334" s="2" t="s">
        <v>1098</v>
      </c>
      <c r="B1334" s="2" t="s">
        <v>261</v>
      </c>
      <c r="C1334" s="3">
        <v>0</v>
      </c>
      <c r="D1334" s="3">
        <v>111336</v>
      </c>
      <c r="E1334" s="3">
        <v>111336</v>
      </c>
      <c r="F1334" s="5">
        <v>0</v>
      </c>
    </row>
    <row r="1335" spans="1:10" ht="15" customHeight="1" x14ac:dyDescent="0.25">
      <c r="A1335" s="2" t="s">
        <v>1099</v>
      </c>
      <c r="B1335" s="2" t="s">
        <v>1100</v>
      </c>
      <c r="C1335" s="3">
        <v>361.88</v>
      </c>
      <c r="D1335" s="3">
        <v>0</v>
      </c>
      <c r="E1335" s="3">
        <v>0</v>
      </c>
      <c r="F1335" s="5">
        <v>0</v>
      </c>
    </row>
    <row r="1336" spans="1:10" ht="15" customHeight="1" x14ac:dyDescent="0.25">
      <c r="A1336" s="2" t="s">
        <v>1101</v>
      </c>
      <c r="B1336" s="2" t="s">
        <v>1102</v>
      </c>
      <c r="C1336" s="3">
        <v>0</v>
      </c>
      <c r="D1336" s="3">
        <v>850000</v>
      </c>
      <c r="E1336" s="3">
        <v>850000</v>
      </c>
      <c r="F1336" s="5">
        <v>0</v>
      </c>
      <c r="J1336" s="48">
        <f>G1336</f>
        <v>0</v>
      </c>
    </row>
    <row r="1337" spans="1:10" x14ac:dyDescent="0.25">
      <c r="A1337" s="2" t="s">
        <v>1103</v>
      </c>
      <c r="B1337" s="2" t="s">
        <v>1104</v>
      </c>
      <c r="C1337" s="3">
        <v>23000</v>
      </c>
      <c r="D1337" s="3">
        <v>440000</v>
      </c>
      <c r="E1337" s="3">
        <v>400000</v>
      </c>
      <c r="F1337" s="5">
        <v>0</v>
      </c>
      <c r="J1337" s="48">
        <f t="shared" ref="J1337:J1338" si="13">G1337</f>
        <v>0</v>
      </c>
    </row>
    <row r="1338" spans="1:10" ht="15" customHeight="1" x14ac:dyDescent="0.25">
      <c r="A1338" s="2" t="s">
        <v>1105</v>
      </c>
      <c r="B1338" s="2" t="s">
        <v>1106</v>
      </c>
      <c r="C1338" s="3">
        <v>23627.67</v>
      </c>
      <c r="D1338" s="3">
        <v>0</v>
      </c>
      <c r="E1338" s="3">
        <v>0</v>
      </c>
      <c r="F1338" s="5">
        <v>0</v>
      </c>
      <c r="J1338" s="48">
        <f t="shared" si="13"/>
        <v>0</v>
      </c>
    </row>
    <row r="1339" spans="1:10" ht="15" customHeight="1" x14ac:dyDescent="0.25">
      <c r="A1339" s="2" t="s">
        <v>1107</v>
      </c>
      <c r="B1339" s="2" t="s">
        <v>1108</v>
      </c>
      <c r="C1339" s="3">
        <v>0</v>
      </c>
      <c r="D1339" s="3">
        <v>6776.06</v>
      </c>
      <c r="E1339" s="3">
        <v>6776.06</v>
      </c>
      <c r="F1339" s="5">
        <v>0</v>
      </c>
    </row>
    <row r="1340" spans="1:10" ht="15" customHeight="1" x14ac:dyDescent="0.25">
      <c r="A1340" s="2" t="s">
        <v>1109</v>
      </c>
      <c r="B1340" s="2" t="s">
        <v>1110</v>
      </c>
      <c r="C1340" s="3">
        <v>4926.47</v>
      </c>
      <c r="D1340" s="3">
        <v>0</v>
      </c>
      <c r="E1340" s="3">
        <v>0</v>
      </c>
      <c r="F1340" s="5">
        <v>0</v>
      </c>
    </row>
    <row r="1341" spans="1:10" ht="15" customHeight="1" x14ac:dyDescent="0.25">
      <c r="A1341" s="2" t="s">
        <v>1111</v>
      </c>
      <c r="B1341" s="2" t="s">
        <v>1112</v>
      </c>
      <c r="C1341" s="3">
        <v>13591.3</v>
      </c>
      <c r="D1341" s="3">
        <v>174.08</v>
      </c>
      <c r="E1341" s="3">
        <v>174.08</v>
      </c>
      <c r="F1341" s="5">
        <v>0</v>
      </c>
    </row>
    <row r="1342" spans="1:10" ht="15" customHeight="1" x14ac:dyDescent="0.25">
      <c r="A1342" s="2" t="s">
        <v>1113</v>
      </c>
      <c r="B1342" s="2" t="s">
        <v>1114</v>
      </c>
      <c r="C1342" s="3">
        <v>0</v>
      </c>
      <c r="D1342" s="3">
        <v>0</v>
      </c>
      <c r="E1342" s="3">
        <v>431713.9</v>
      </c>
      <c r="F1342" s="5">
        <v>0</v>
      </c>
    </row>
    <row r="1343" spans="1:10" x14ac:dyDescent="0.25">
      <c r="A1343" s="1" t="s">
        <v>1115</v>
      </c>
      <c r="B1343" s="1" t="s">
        <v>2</v>
      </c>
      <c r="C1343" s="4">
        <v>65507.32</v>
      </c>
      <c r="D1343" s="4">
        <v>1608286.14</v>
      </c>
      <c r="E1343" s="6">
        <f>SUM(E1333:E1342)</f>
        <v>2000000.04</v>
      </c>
      <c r="F1343" s="6">
        <f>SUM(F1333:F1342)</f>
        <v>0</v>
      </c>
    </row>
    <row r="1344" spans="1:10" ht="15" customHeight="1" x14ac:dyDescent="0.25">
      <c r="A1344" s="25" t="s">
        <v>2758</v>
      </c>
      <c r="B1344" s="25"/>
      <c r="C1344" s="33">
        <f>C1328+C1331-C1343</f>
        <v>2015757.68</v>
      </c>
      <c r="D1344" s="33">
        <f t="shared" ref="D1344:F1344" si="14">D1328+D1331-D1343</f>
        <v>407471.54000000004</v>
      </c>
      <c r="E1344" s="33">
        <f>E1328+E1331-E1343</f>
        <v>2094991.6399999997</v>
      </c>
      <c r="F1344" s="33">
        <f t="shared" si="14"/>
        <v>2094991.6399999997</v>
      </c>
      <c r="G1344" s="25"/>
    </row>
    <row r="1345" spans="1:11" x14ac:dyDescent="0.25">
      <c r="A1345" s="1" t="s">
        <v>2</v>
      </c>
      <c r="B1345" s="1" t="s">
        <v>2</v>
      </c>
      <c r="C1345" s="1" t="s">
        <v>2</v>
      </c>
      <c r="D1345" s="1" t="s">
        <v>2</v>
      </c>
      <c r="E1345" s="36"/>
      <c r="F1345" s="1" t="s">
        <v>2</v>
      </c>
    </row>
    <row r="1346" spans="1:11" ht="15" customHeight="1" x14ac:dyDescent="0.25">
      <c r="A1346" s="27" t="s">
        <v>2754</v>
      </c>
      <c r="B1346" s="27"/>
      <c r="C1346" s="28">
        <v>105842.29</v>
      </c>
      <c r="D1346" s="28">
        <v>107446.64</v>
      </c>
      <c r="E1346" s="28">
        <v>107446.64</v>
      </c>
      <c r="F1346" s="28">
        <f>E1374</f>
        <v>49421.64</v>
      </c>
      <c r="G1346" s="27"/>
    </row>
    <row r="1347" spans="1:11" x14ac:dyDescent="0.25">
      <c r="A1347" s="23" t="s">
        <v>1117</v>
      </c>
      <c r="B1347" s="23" t="s">
        <v>2</v>
      </c>
      <c r="C1347" s="29"/>
      <c r="D1347" s="29"/>
      <c r="E1347" s="29"/>
      <c r="F1347" s="29"/>
      <c r="G1347" s="29"/>
    </row>
    <row r="1348" spans="1:11" x14ac:dyDescent="0.25">
      <c r="A1348" s="30" t="s">
        <v>2759</v>
      </c>
      <c r="B1348" s="30" t="s">
        <v>2760</v>
      </c>
      <c r="C1348" s="31">
        <v>27474.28</v>
      </c>
      <c r="D1348" s="31">
        <v>13903.26</v>
      </c>
      <c r="E1348" s="31">
        <v>10000</v>
      </c>
      <c r="F1348" s="31">
        <v>0</v>
      </c>
      <c r="G1348" s="29"/>
    </row>
    <row r="1349" spans="1:11" x14ac:dyDescent="0.25">
      <c r="A1349" s="30" t="s">
        <v>2761</v>
      </c>
      <c r="B1349" s="30" t="s">
        <v>2762</v>
      </c>
      <c r="C1349" s="31">
        <v>27474.27</v>
      </c>
      <c r="D1349" s="31">
        <v>13903.26</v>
      </c>
      <c r="E1349" s="31">
        <v>10000</v>
      </c>
      <c r="F1349" s="31">
        <v>0</v>
      </c>
      <c r="G1349" s="29"/>
      <c r="J1349" s="41"/>
      <c r="K1349" s="41"/>
    </row>
    <row r="1350" spans="1:11" x14ac:dyDescent="0.25">
      <c r="A1350" s="30"/>
      <c r="B1350" s="30"/>
      <c r="C1350" s="31"/>
      <c r="D1350" s="31"/>
      <c r="E1350" s="31"/>
      <c r="F1350" s="31"/>
      <c r="G1350" s="29"/>
    </row>
    <row r="1351" spans="1:11" x14ac:dyDescent="0.25">
      <c r="A1351" s="23" t="s">
        <v>2175</v>
      </c>
      <c r="B1351" s="23" t="s">
        <v>2</v>
      </c>
      <c r="C1351" s="29"/>
      <c r="D1351" s="29"/>
      <c r="E1351" s="29"/>
      <c r="F1351" s="29"/>
      <c r="G1351" s="29"/>
    </row>
    <row r="1352" spans="1:11" x14ac:dyDescent="0.25">
      <c r="A1352" s="23" t="s">
        <v>2176</v>
      </c>
      <c r="B1352" s="23" t="s">
        <v>2</v>
      </c>
      <c r="C1352" s="29"/>
      <c r="D1352" s="29"/>
      <c r="E1352" s="29"/>
      <c r="F1352" s="29"/>
      <c r="G1352" s="29"/>
    </row>
    <row r="1353" spans="1:11" x14ac:dyDescent="0.25">
      <c r="A1353" s="30" t="s">
        <v>2763</v>
      </c>
      <c r="B1353" s="30" t="s">
        <v>2409</v>
      </c>
      <c r="C1353" s="31">
        <v>44.09</v>
      </c>
      <c r="D1353" s="31">
        <v>36.82</v>
      </c>
      <c r="E1353" s="31">
        <v>0</v>
      </c>
      <c r="F1353" s="31">
        <v>0</v>
      </c>
      <c r="G1353" s="29"/>
    </row>
    <row r="1354" spans="1:11" x14ac:dyDescent="0.25">
      <c r="A1354" s="23" t="s">
        <v>2179</v>
      </c>
      <c r="B1354" s="23" t="s">
        <v>2</v>
      </c>
      <c r="C1354" s="32">
        <v>44.09</v>
      </c>
      <c r="D1354" s="32">
        <v>36.82</v>
      </c>
      <c r="E1354" s="32">
        <f>SUM(E1353)</f>
        <v>0</v>
      </c>
      <c r="F1354" s="32">
        <f>SUM(F1353)</f>
        <v>0</v>
      </c>
      <c r="G1354" s="29"/>
      <c r="J1354" s="41"/>
      <c r="K1354" s="41"/>
    </row>
    <row r="1355" spans="1:11" x14ac:dyDescent="0.25">
      <c r="A1355" s="23" t="s">
        <v>2</v>
      </c>
      <c r="B1355" s="23" t="s">
        <v>2</v>
      </c>
      <c r="C1355" s="23" t="s">
        <v>2</v>
      </c>
      <c r="D1355" s="23" t="s">
        <v>2</v>
      </c>
      <c r="E1355" s="23" t="s">
        <v>2</v>
      </c>
      <c r="F1355" s="23" t="s">
        <v>2</v>
      </c>
      <c r="G1355" s="29"/>
    </row>
    <row r="1356" spans="1:11" s="29" customFormat="1" x14ac:dyDescent="0.25">
      <c r="A1356" s="23" t="s">
        <v>2047</v>
      </c>
      <c r="B1356" s="23" t="s">
        <v>2</v>
      </c>
      <c r="C1356" s="32">
        <v>54992.639999999999</v>
      </c>
      <c r="D1356" s="32">
        <v>27843.34</v>
      </c>
      <c r="E1356" s="32">
        <f>SUM(E1348:E1349)+E1354</f>
        <v>20000</v>
      </c>
      <c r="F1356" s="32">
        <f>SUM(F1348:F1349)+F1354</f>
        <v>0</v>
      </c>
      <c r="J1356"/>
      <c r="K1356"/>
    </row>
    <row r="1357" spans="1:11" x14ac:dyDescent="0.25">
      <c r="A1357" s="1" t="s">
        <v>1117</v>
      </c>
      <c r="B1357" s="1" t="s">
        <v>2</v>
      </c>
    </row>
    <row r="1358" spans="1:11" x14ac:dyDescent="0.25">
      <c r="A1358" s="2" t="s">
        <v>1118</v>
      </c>
      <c r="B1358" s="2" t="s">
        <v>1097</v>
      </c>
      <c r="C1358" s="3">
        <v>39000</v>
      </c>
      <c r="D1358" s="3">
        <v>10500</v>
      </c>
      <c r="E1358" s="3">
        <v>42000</v>
      </c>
      <c r="F1358" s="5">
        <v>0</v>
      </c>
    </row>
    <row r="1359" spans="1:11" ht="15" customHeight="1" x14ac:dyDescent="0.25">
      <c r="A1359" s="2" t="s">
        <v>1119</v>
      </c>
      <c r="B1359" s="2" t="s">
        <v>1120</v>
      </c>
      <c r="C1359" s="3">
        <v>2000</v>
      </c>
      <c r="D1359" s="3">
        <v>0</v>
      </c>
      <c r="E1359" s="3">
        <v>2000</v>
      </c>
      <c r="F1359" s="5">
        <v>0</v>
      </c>
    </row>
    <row r="1360" spans="1:11" ht="15" customHeight="1" x14ac:dyDescent="0.25">
      <c r="A1360" s="2" t="s">
        <v>1121</v>
      </c>
      <c r="B1360" s="2" t="s">
        <v>275</v>
      </c>
      <c r="C1360" s="3">
        <v>925.7</v>
      </c>
      <c r="D1360" s="3">
        <v>0</v>
      </c>
      <c r="E1360" s="3">
        <v>0</v>
      </c>
      <c r="F1360" s="5">
        <v>0</v>
      </c>
    </row>
    <row r="1361" spans="1:7" ht="15" customHeight="1" x14ac:dyDescent="0.25">
      <c r="A1361" s="2" t="s">
        <v>1122</v>
      </c>
      <c r="B1361" s="2" t="s">
        <v>1123</v>
      </c>
      <c r="C1361" s="3">
        <v>0</v>
      </c>
      <c r="D1361" s="3">
        <v>0</v>
      </c>
      <c r="E1361" s="3">
        <v>0</v>
      </c>
      <c r="F1361" s="5">
        <v>0</v>
      </c>
    </row>
    <row r="1362" spans="1:7" ht="15" customHeight="1" x14ac:dyDescent="0.25">
      <c r="A1362" s="2" t="s">
        <v>1124</v>
      </c>
      <c r="B1362" s="2" t="s">
        <v>1125</v>
      </c>
      <c r="C1362" s="3">
        <v>0</v>
      </c>
      <c r="D1362" s="3">
        <v>0</v>
      </c>
      <c r="E1362" s="3">
        <v>5000</v>
      </c>
      <c r="F1362" s="5">
        <v>0</v>
      </c>
    </row>
    <row r="1363" spans="1:7" ht="15" customHeight="1" x14ac:dyDescent="0.25">
      <c r="A1363" s="2" t="s">
        <v>1126</v>
      </c>
      <c r="B1363" s="2" t="s">
        <v>1127</v>
      </c>
      <c r="C1363" s="3">
        <v>0</v>
      </c>
      <c r="D1363" s="3">
        <v>0</v>
      </c>
      <c r="E1363" s="3">
        <v>0</v>
      </c>
      <c r="F1363" s="5">
        <v>0</v>
      </c>
    </row>
    <row r="1364" spans="1:7" ht="15" customHeight="1" x14ac:dyDescent="0.25">
      <c r="A1364" s="2" t="s">
        <v>1128</v>
      </c>
      <c r="B1364" s="2" t="s">
        <v>1129</v>
      </c>
      <c r="C1364" s="3">
        <v>0</v>
      </c>
      <c r="D1364" s="3">
        <v>0</v>
      </c>
      <c r="E1364" s="3">
        <v>0</v>
      </c>
      <c r="F1364" s="5">
        <v>0</v>
      </c>
    </row>
    <row r="1365" spans="1:7" ht="15" customHeight="1" x14ac:dyDescent="0.25">
      <c r="A1365" s="2" t="s">
        <v>1130</v>
      </c>
      <c r="B1365" s="2" t="s">
        <v>1131</v>
      </c>
      <c r="C1365" s="3">
        <v>0</v>
      </c>
      <c r="D1365" s="3">
        <v>0</v>
      </c>
      <c r="E1365" s="3">
        <v>5000</v>
      </c>
      <c r="F1365" s="5">
        <v>0</v>
      </c>
    </row>
    <row r="1366" spans="1:7" ht="15" customHeight="1" x14ac:dyDescent="0.25">
      <c r="A1366" s="2" t="s">
        <v>1132</v>
      </c>
      <c r="B1366" s="2" t="s">
        <v>1123</v>
      </c>
      <c r="C1366" s="3">
        <v>0</v>
      </c>
      <c r="D1366" s="3">
        <v>0</v>
      </c>
      <c r="E1366" s="3">
        <v>0</v>
      </c>
      <c r="F1366" s="5">
        <v>0</v>
      </c>
    </row>
    <row r="1367" spans="1:7" ht="15" customHeight="1" x14ac:dyDescent="0.25">
      <c r="A1367" s="2" t="s">
        <v>1133</v>
      </c>
      <c r="B1367" s="2" t="s">
        <v>1134</v>
      </c>
      <c r="C1367" s="3">
        <v>2000</v>
      </c>
      <c r="D1367" s="3">
        <v>1557.11</v>
      </c>
      <c r="E1367" s="3">
        <v>2525</v>
      </c>
      <c r="F1367" s="5">
        <v>0</v>
      </c>
    </row>
    <row r="1368" spans="1:7" ht="15" customHeight="1" x14ac:dyDescent="0.25">
      <c r="A1368" s="2" t="s">
        <v>1135</v>
      </c>
      <c r="B1368" s="2" t="s">
        <v>1136</v>
      </c>
      <c r="C1368" s="3">
        <v>1462.59</v>
      </c>
      <c r="D1368" s="3">
        <v>0</v>
      </c>
      <c r="E1368" s="3">
        <v>3000</v>
      </c>
      <c r="F1368" s="5">
        <v>0</v>
      </c>
    </row>
    <row r="1369" spans="1:7" ht="15" customHeight="1" x14ac:dyDescent="0.25">
      <c r="A1369" s="2" t="s">
        <v>1137</v>
      </c>
      <c r="B1369" s="2" t="s">
        <v>1138</v>
      </c>
      <c r="C1369" s="3">
        <v>0</v>
      </c>
      <c r="D1369" s="3">
        <v>0</v>
      </c>
      <c r="E1369" s="3">
        <v>2000</v>
      </c>
      <c r="F1369" s="5">
        <v>0</v>
      </c>
    </row>
    <row r="1370" spans="1:7" ht="15" customHeight="1" x14ac:dyDescent="0.25">
      <c r="A1370" s="2" t="s">
        <v>1139</v>
      </c>
      <c r="B1370" s="2" t="s">
        <v>1140</v>
      </c>
      <c r="C1370" s="3">
        <v>0</v>
      </c>
      <c r="D1370" s="3">
        <v>0</v>
      </c>
      <c r="E1370" s="3">
        <v>3000</v>
      </c>
      <c r="F1370" s="5">
        <v>0</v>
      </c>
    </row>
    <row r="1371" spans="1:7" ht="15" customHeight="1" x14ac:dyDescent="0.25">
      <c r="A1371" s="2" t="s">
        <v>1141</v>
      </c>
      <c r="B1371" s="2" t="s">
        <v>1142</v>
      </c>
      <c r="C1371" s="3">
        <v>8000</v>
      </c>
      <c r="D1371" s="3">
        <v>0</v>
      </c>
      <c r="E1371" s="3">
        <v>13500</v>
      </c>
      <c r="F1371" s="5">
        <v>0</v>
      </c>
    </row>
    <row r="1372" spans="1:7" ht="15" customHeight="1" x14ac:dyDescent="0.25">
      <c r="A1372" s="2" t="s">
        <v>1143</v>
      </c>
      <c r="B1372" s="2" t="s">
        <v>1144</v>
      </c>
      <c r="C1372" s="3">
        <v>0</v>
      </c>
      <c r="D1372" s="3">
        <v>0</v>
      </c>
      <c r="E1372" s="3">
        <v>0</v>
      </c>
      <c r="F1372" s="5">
        <v>0</v>
      </c>
    </row>
    <row r="1373" spans="1:7" ht="15" customHeight="1" x14ac:dyDescent="0.25">
      <c r="A1373" s="1" t="s">
        <v>1145</v>
      </c>
      <c r="B1373" s="1" t="s">
        <v>2</v>
      </c>
      <c r="C1373" s="4">
        <v>53388.29</v>
      </c>
      <c r="D1373" s="4">
        <v>12057.11</v>
      </c>
      <c r="E1373" s="6">
        <f>SUM(E1358:E1372)</f>
        <v>78025</v>
      </c>
      <c r="F1373" s="6">
        <f>SUM(F1358:F1372)</f>
        <v>0</v>
      </c>
    </row>
    <row r="1374" spans="1:7" ht="15" customHeight="1" x14ac:dyDescent="0.25">
      <c r="A1374" s="25" t="s">
        <v>2757</v>
      </c>
      <c r="B1374" s="25"/>
      <c r="C1374" s="33">
        <f>C1346+C1356-C1373</f>
        <v>107446.63999999998</v>
      </c>
      <c r="D1374" s="33">
        <f t="shared" ref="D1374:F1374" si="15">D1346+D1356-D1373</f>
        <v>123232.87000000001</v>
      </c>
      <c r="E1374" s="33">
        <f t="shared" si="15"/>
        <v>49421.64</v>
      </c>
      <c r="F1374" s="33">
        <f t="shared" si="15"/>
        <v>49421.64</v>
      </c>
      <c r="G1374" s="25"/>
    </row>
    <row r="1375" spans="1:7" x14ac:dyDescent="0.25">
      <c r="A1375" s="1" t="s">
        <v>2</v>
      </c>
      <c r="B1375" s="1" t="s">
        <v>2</v>
      </c>
      <c r="C1375" s="1" t="s">
        <v>2</v>
      </c>
      <c r="D1375" s="1" t="s">
        <v>2</v>
      </c>
      <c r="E1375" s="1" t="s">
        <v>2</v>
      </c>
      <c r="F1375" s="1" t="s">
        <v>2</v>
      </c>
    </row>
    <row r="1376" spans="1:7" ht="15" customHeight="1" x14ac:dyDescent="0.25">
      <c r="A1376" s="27" t="s">
        <v>2764</v>
      </c>
      <c r="B1376" s="27"/>
      <c r="C1376" s="28">
        <v>11045.05</v>
      </c>
      <c r="D1376" s="28">
        <v>5732.97</v>
      </c>
      <c r="E1376" s="28">
        <v>5732.97</v>
      </c>
      <c r="F1376" s="28">
        <f>E1405</f>
        <v>5732.9700000000012</v>
      </c>
      <c r="G1376" s="27"/>
    </row>
    <row r="1377" spans="1:7" x14ac:dyDescent="0.25">
      <c r="A1377" s="23" t="s">
        <v>1146</v>
      </c>
      <c r="B1377" s="23" t="s">
        <v>2</v>
      </c>
      <c r="C1377" s="29"/>
      <c r="D1377" s="29"/>
      <c r="E1377" s="29"/>
      <c r="F1377" s="29"/>
      <c r="G1377" s="29"/>
    </row>
    <row r="1378" spans="1:7" x14ac:dyDescent="0.25">
      <c r="A1378" s="23" t="s">
        <v>2026</v>
      </c>
      <c r="B1378" s="23" t="s">
        <v>2</v>
      </c>
      <c r="C1378" s="29"/>
      <c r="D1378" s="29"/>
      <c r="E1378" s="29"/>
      <c r="F1378" s="29"/>
      <c r="G1378" s="29"/>
    </row>
    <row r="1379" spans="1:7" x14ac:dyDescent="0.25">
      <c r="A1379" s="23" t="s">
        <v>2175</v>
      </c>
      <c r="B1379" s="23" t="s">
        <v>2</v>
      </c>
      <c r="C1379" s="29"/>
      <c r="D1379" s="29"/>
      <c r="E1379" s="29"/>
      <c r="F1379" s="29"/>
      <c r="G1379" s="29"/>
    </row>
    <row r="1380" spans="1:7" x14ac:dyDescent="0.25">
      <c r="A1380" s="23" t="s">
        <v>2176</v>
      </c>
      <c r="B1380" s="23" t="s">
        <v>2</v>
      </c>
      <c r="C1380" s="29"/>
      <c r="D1380" s="29"/>
      <c r="E1380" s="29"/>
      <c r="F1380" s="29"/>
      <c r="G1380" s="29"/>
    </row>
    <row r="1381" spans="1:7" x14ac:dyDescent="0.25">
      <c r="A1381" s="30" t="s">
        <v>2765</v>
      </c>
      <c r="B1381" s="30" t="s">
        <v>2409</v>
      </c>
      <c r="C1381" s="31">
        <v>0.42</v>
      </c>
      <c r="D1381" s="31">
        <v>0.28000000000000003</v>
      </c>
      <c r="E1381" s="31">
        <v>0</v>
      </c>
      <c r="F1381" s="31">
        <v>0</v>
      </c>
      <c r="G1381" s="29"/>
    </row>
    <row r="1382" spans="1:7" x14ac:dyDescent="0.25">
      <c r="A1382" s="30" t="s">
        <v>2766</v>
      </c>
      <c r="B1382" s="30" t="s">
        <v>2703</v>
      </c>
      <c r="C1382" s="31">
        <v>0</v>
      </c>
      <c r="D1382" s="31">
        <v>0</v>
      </c>
      <c r="E1382" s="31">
        <v>0</v>
      </c>
      <c r="F1382" s="31">
        <v>0</v>
      </c>
      <c r="G1382" s="29"/>
    </row>
    <row r="1383" spans="1:7" x14ac:dyDescent="0.25">
      <c r="A1383" s="23" t="s">
        <v>2179</v>
      </c>
      <c r="B1383" s="23" t="s">
        <v>2</v>
      </c>
      <c r="C1383" s="32">
        <v>0.42</v>
      </c>
      <c r="D1383" s="32">
        <v>0.28000000000000003</v>
      </c>
      <c r="E1383" s="32">
        <f>SUM(E1381:E1382)</f>
        <v>0</v>
      </c>
      <c r="F1383" s="32">
        <f>SUM(F1381:F1382)</f>
        <v>0</v>
      </c>
      <c r="G1383" s="29"/>
    </row>
    <row r="1384" spans="1:7" x14ac:dyDescent="0.25">
      <c r="A1384" s="23" t="s">
        <v>2</v>
      </c>
      <c r="B1384" s="23" t="s">
        <v>2</v>
      </c>
      <c r="C1384" s="23" t="s">
        <v>2</v>
      </c>
      <c r="D1384" s="23" t="s">
        <v>2</v>
      </c>
      <c r="E1384" s="23" t="s">
        <v>2</v>
      </c>
      <c r="F1384" s="23" t="s">
        <v>2</v>
      </c>
      <c r="G1384" s="29"/>
    </row>
    <row r="1385" spans="1:7" x14ac:dyDescent="0.25">
      <c r="A1385" s="23" t="s">
        <v>2724</v>
      </c>
      <c r="B1385" s="23" t="s">
        <v>2</v>
      </c>
      <c r="C1385" s="29"/>
      <c r="D1385" s="29"/>
      <c r="E1385" s="29"/>
      <c r="F1385" s="29"/>
      <c r="G1385" s="29"/>
    </row>
    <row r="1386" spans="1:7" x14ac:dyDescent="0.25">
      <c r="A1386" s="30" t="s">
        <v>2767</v>
      </c>
      <c r="B1386" s="30" t="s">
        <v>2768</v>
      </c>
      <c r="C1386" s="31">
        <v>0</v>
      </c>
      <c r="D1386" s="31">
        <v>0</v>
      </c>
      <c r="E1386" s="31">
        <v>0</v>
      </c>
      <c r="F1386" s="31">
        <v>0</v>
      </c>
      <c r="G1386" s="29"/>
    </row>
    <row r="1387" spans="1:7" x14ac:dyDescent="0.25">
      <c r="A1387" s="30" t="s">
        <v>2769</v>
      </c>
      <c r="B1387" s="30" t="s">
        <v>2770</v>
      </c>
      <c r="C1387" s="31">
        <v>70272</v>
      </c>
      <c r="D1387" s="31">
        <v>0</v>
      </c>
      <c r="E1387" s="31">
        <v>70272</v>
      </c>
      <c r="F1387" s="31">
        <v>0</v>
      </c>
      <c r="G1387" s="29"/>
    </row>
    <row r="1388" spans="1:7" x14ac:dyDescent="0.25">
      <c r="A1388" s="30" t="s">
        <v>2771</v>
      </c>
      <c r="B1388" s="30" t="s">
        <v>2772</v>
      </c>
      <c r="C1388" s="31">
        <v>45312.5</v>
      </c>
      <c r="D1388" s="31">
        <v>0</v>
      </c>
      <c r="E1388" s="31">
        <v>49425</v>
      </c>
      <c r="F1388" s="31">
        <v>0</v>
      </c>
      <c r="G1388" s="29"/>
    </row>
    <row r="1389" spans="1:7" x14ac:dyDescent="0.25">
      <c r="A1389" s="23" t="s">
        <v>2725</v>
      </c>
      <c r="B1389" s="23" t="s">
        <v>2</v>
      </c>
      <c r="C1389" s="32">
        <v>115584.5</v>
      </c>
      <c r="D1389" s="32">
        <v>0</v>
      </c>
      <c r="E1389" s="32">
        <f>SUM(E1386:E1388)</f>
        <v>119697</v>
      </c>
      <c r="F1389" s="32">
        <f>SUM(F1386:F1388)</f>
        <v>0</v>
      </c>
      <c r="G1389" s="29"/>
    </row>
    <row r="1390" spans="1:7" x14ac:dyDescent="0.25">
      <c r="A1390" s="23" t="s">
        <v>2</v>
      </c>
      <c r="B1390" s="23" t="s">
        <v>2</v>
      </c>
      <c r="C1390" s="23" t="s">
        <v>2</v>
      </c>
      <c r="D1390" s="23" t="s">
        <v>2</v>
      </c>
      <c r="E1390" s="23" t="s">
        <v>2</v>
      </c>
      <c r="F1390" s="23" t="s">
        <v>2</v>
      </c>
      <c r="G1390" s="29"/>
    </row>
    <row r="1391" spans="1:7" x14ac:dyDescent="0.25">
      <c r="A1391" s="23" t="s">
        <v>2047</v>
      </c>
      <c r="B1391" s="23" t="s">
        <v>2</v>
      </c>
      <c r="C1391" s="32">
        <v>115584.92</v>
      </c>
      <c r="D1391" s="32">
        <v>0.28000000000000003</v>
      </c>
      <c r="E1391" s="32">
        <f>E1383+E1389</f>
        <v>119697</v>
      </c>
      <c r="F1391" s="32">
        <f>F1383+F1389</f>
        <v>0</v>
      </c>
      <c r="G1391" s="29"/>
    </row>
    <row r="1392" spans="1:7" x14ac:dyDescent="0.25">
      <c r="A1392" s="1" t="s">
        <v>740</v>
      </c>
      <c r="B1392" s="1" t="s">
        <v>2</v>
      </c>
      <c r="C1392" s="1" t="s">
        <v>2</v>
      </c>
      <c r="D1392" s="1" t="s">
        <v>2</v>
      </c>
      <c r="E1392" s="1" t="s">
        <v>2</v>
      </c>
      <c r="F1392" s="1" t="s">
        <v>2</v>
      </c>
    </row>
    <row r="1393" spans="1:7" ht="15" customHeight="1" x14ac:dyDescent="0.25">
      <c r="A1393" s="1" t="s">
        <v>556</v>
      </c>
      <c r="B1393" s="1" t="s">
        <v>2</v>
      </c>
    </row>
    <row r="1394" spans="1:7" ht="27" customHeight="1" x14ac:dyDescent="0.25">
      <c r="A1394" s="1" t="s">
        <v>1147</v>
      </c>
      <c r="B1394" s="1" t="s">
        <v>2</v>
      </c>
    </row>
    <row r="1395" spans="1:7" x14ac:dyDescent="0.25">
      <c r="A1395" s="2" t="s">
        <v>1148</v>
      </c>
      <c r="B1395" s="2" t="s">
        <v>1149</v>
      </c>
      <c r="C1395" s="3">
        <v>40000</v>
      </c>
      <c r="D1395" s="3">
        <v>0</v>
      </c>
      <c r="E1395" s="3">
        <v>40000</v>
      </c>
      <c r="F1395" s="5">
        <v>0</v>
      </c>
    </row>
    <row r="1396" spans="1:7" x14ac:dyDescent="0.25">
      <c r="A1396" s="2" t="s">
        <v>1150</v>
      </c>
      <c r="B1396" s="2" t="s">
        <v>1151</v>
      </c>
      <c r="C1396" s="3">
        <v>63317</v>
      </c>
      <c r="D1396" s="3">
        <v>0</v>
      </c>
      <c r="E1396" s="3">
        <v>64267</v>
      </c>
      <c r="F1396" s="5">
        <v>0</v>
      </c>
    </row>
    <row r="1397" spans="1:7" ht="26.25" customHeight="1" x14ac:dyDescent="0.25">
      <c r="A1397" s="1" t="s">
        <v>1152</v>
      </c>
      <c r="B1397" s="1" t="s">
        <v>2</v>
      </c>
      <c r="C1397" s="4">
        <v>103317</v>
      </c>
      <c r="D1397" s="4">
        <v>0</v>
      </c>
      <c r="E1397" s="6">
        <f>SUM(E1395:E1396)</f>
        <v>104267</v>
      </c>
      <c r="F1397" s="6">
        <f>SUM(F1395:F1396)</f>
        <v>0</v>
      </c>
    </row>
    <row r="1398" spans="1:7" x14ac:dyDescent="0.25">
      <c r="A1398" s="1" t="s">
        <v>2</v>
      </c>
      <c r="B1398" s="1" t="s">
        <v>2</v>
      </c>
      <c r="C1398" s="1" t="s">
        <v>2</v>
      </c>
      <c r="D1398" s="1" t="s">
        <v>2</v>
      </c>
      <c r="E1398" s="1" t="s">
        <v>2</v>
      </c>
      <c r="F1398" s="1" t="s">
        <v>2</v>
      </c>
    </row>
    <row r="1399" spans="1:7" ht="15" customHeight="1" x14ac:dyDescent="0.25">
      <c r="A1399" s="1" t="s">
        <v>1153</v>
      </c>
      <c r="B1399" s="1" t="s">
        <v>2</v>
      </c>
    </row>
    <row r="1400" spans="1:7" x14ac:dyDescent="0.25">
      <c r="A1400" s="2" t="s">
        <v>1154</v>
      </c>
      <c r="B1400" s="2" t="s">
        <v>1155</v>
      </c>
      <c r="C1400" s="3">
        <v>10625</v>
      </c>
      <c r="D1400" s="3">
        <v>0</v>
      </c>
      <c r="E1400" s="3">
        <v>9425</v>
      </c>
      <c r="F1400" s="5">
        <v>0</v>
      </c>
    </row>
    <row r="1401" spans="1:7" ht="15" customHeight="1" x14ac:dyDescent="0.25">
      <c r="A1401" s="2" t="s">
        <v>1156</v>
      </c>
      <c r="B1401" s="2" t="s">
        <v>1157</v>
      </c>
      <c r="C1401" s="3">
        <v>6955</v>
      </c>
      <c r="D1401" s="3">
        <v>0</v>
      </c>
      <c r="E1401" s="3">
        <v>6005</v>
      </c>
      <c r="F1401" s="5">
        <v>0</v>
      </c>
    </row>
    <row r="1402" spans="1:7" ht="15" customHeight="1" x14ac:dyDescent="0.25">
      <c r="A1402" s="1" t="s">
        <v>1158</v>
      </c>
      <c r="B1402" s="1" t="s">
        <v>2</v>
      </c>
      <c r="C1402" s="4">
        <v>17580</v>
      </c>
      <c r="D1402" s="4">
        <v>0</v>
      </c>
      <c r="E1402" s="6">
        <f>SUM(E1400:E1401)</f>
        <v>15430</v>
      </c>
      <c r="F1402" s="6">
        <f>SUM(F1400:F1401)</f>
        <v>0</v>
      </c>
    </row>
    <row r="1403" spans="1:7" x14ac:dyDescent="0.25">
      <c r="A1403" s="1" t="s">
        <v>2</v>
      </c>
      <c r="B1403" s="1" t="s">
        <v>2</v>
      </c>
      <c r="C1403" s="1" t="s">
        <v>2</v>
      </c>
      <c r="D1403" s="1" t="s">
        <v>2</v>
      </c>
      <c r="E1403" s="1" t="s">
        <v>2</v>
      </c>
      <c r="F1403" s="1" t="s">
        <v>2</v>
      </c>
    </row>
    <row r="1404" spans="1:7" ht="15" customHeight="1" x14ac:dyDescent="0.25">
      <c r="A1404" s="1" t="s">
        <v>1159</v>
      </c>
      <c r="B1404" s="1" t="s">
        <v>2</v>
      </c>
      <c r="C1404" s="4">
        <v>120897</v>
      </c>
      <c r="D1404" s="4">
        <v>0</v>
      </c>
      <c r="E1404" s="6">
        <f>E1402+E1397</f>
        <v>119697</v>
      </c>
      <c r="F1404" s="6">
        <f>F1402+F1397</f>
        <v>0</v>
      </c>
    </row>
    <row r="1405" spans="1:7" ht="15" customHeight="1" x14ac:dyDescent="0.25">
      <c r="A1405" s="25" t="s">
        <v>2773</v>
      </c>
      <c r="B1405" s="25"/>
      <c r="C1405" s="33">
        <f>C1376+C1391-C1404</f>
        <v>5732.9700000000012</v>
      </c>
      <c r="D1405" s="33">
        <f t="shared" ref="D1405:F1405" si="16">D1376+D1391-D1404</f>
        <v>5733.25</v>
      </c>
      <c r="E1405" s="33">
        <f t="shared" si="16"/>
        <v>5732.9700000000012</v>
      </c>
      <c r="F1405" s="33">
        <f t="shared" si="16"/>
        <v>5732.9700000000012</v>
      </c>
      <c r="G1405" s="25"/>
    </row>
    <row r="1406" spans="1:7" x14ac:dyDescent="0.25">
      <c r="A1406" s="1" t="s">
        <v>2</v>
      </c>
      <c r="B1406" s="1" t="s">
        <v>2</v>
      </c>
      <c r="C1406" s="36"/>
      <c r="D1406" s="1"/>
      <c r="E1406" s="36"/>
      <c r="F1406" s="36"/>
    </row>
    <row r="1407" spans="1:7" ht="15" customHeight="1" x14ac:dyDescent="0.25">
      <c r="A1407" s="27" t="s">
        <v>2774</v>
      </c>
      <c r="B1407" s="27"/>
      <c r="C1407" s="28">
        <v>32829.660000000003</v>
      </c>
      <c r="D1407" s="28">
        <v>14774.97</v>
      </c>
      <c r="E1407" s="28">
        <v>14774.97</v>
      </c>
      <c r="F1407" s="28">
        <f>E1444</f>
        <v>1297.2699999999968</v>
      </c>
      <c r="G1407" s="27"/>
    </row>
    <row r="1408" spans="1:7" x14ac:dyDescent="0.25">
      <c r="A1408" s="23" t="s">
        <v>1160</v>
      </c>
      <c r="B1408" s="23" t="s">
        <v>2</v>
      </c>
      <c r="C1408" s="29"/>
      <c r="D1408" s="29"/>
      <c r="E1408" s="29"/>
      <c r="F1408" s="29"/>
      <c r="G1408" s="29"/>
    </row>
    <row r="1409" spans="1:7" x14ac:dyDescent="0.25">
      <c r="A1409" s="23" t="s">
        <v>2026</v>
      </c>
      <c r="B1409" s="23" t="s">
        <v>2</v>
      </c>
      <c r="C1409" s="29"/>
      <c r="D1409" s="29"/>
      <c r="E1409" s="29"/>
      <c r="F1409" s="29"/>
      <c r="G1409" s="29"/>
    </row>
    <row r="1410" spans="1:7" x14ac:dyDescent="0.25">
      <c r="A1410" s="23" t="s">
        <v>2175</v>
      </c>
      <c r="B1410" s="23" t="s">
        <v>2</v>
      </c>
      <c r="C1410" s="29"/>
      <c r="D1410" s="29"/>
      <c r="E1410" s="29"/>
      <c r="F1410" s="29"/>
      <c r="G1410" s="29"/>
    </row>
    <row r="1411" spans="1:7" x14ac:dyDescent="0.25">
      <c r="A1411" s="23" t="s">
        <v>2176</v>
      </c>
      <c r="B1411" s="23" t="s">
        <v>2</v>
      </c>
      <c r="C1411" s="29"/>
      <c r="D1411" s="29"/>
      <c r="E1411" s="29"/>
      <c r="F1411" s="29"/>
      <c r="G1411" s="29"/>
    </row>
    <row r="1412" spans="1:7" x14ac:dyDescent="0.25">
      <c r="A1412" s="30" t="s">
        <v>2775</v>
      </c>
      <c r="B1412" s="30" t="s">
        <v>2409</v>
      </c>
      <c r="C1412" s="31">
        <v>0</v>
      </c>
      <c r="D1412" s="31">
        <v>0</v>
      </c>
      <c r="E1412" s="31">
        <v>0</v>
      </c>
      <c r="F1412" s="31">
        <v>0</v>
      </c>
      <c r="G1412" s="29"/>
    </row>
    <row r="1413" spans="1:7" x14ac:dyDescent="0.25">
      <c r="A1413" s="30" t="s">
        <v>2776</v>
      </c>
      <c r="B1413" s="30" t="s">
        <v>2777</v>
      </c>
      <c r="C1413" s="31">
        <v>3896.92</v>
      </c>
      <c r="D1413" s="31">
        <v>0</v>
      </c>
      <c r="E1413" s="31">
        <v>3000</v>
      </c>
      <c r="F1413" s="31">
        <v>0</v>
      </c>
      <c r="G1413" s="29"/>
    </row>
    <row r="1414" spans="1:7" x14ac:dyDescent="0.25">
      <c r="A1414" s="30" t="s">
        <v>2778</v>
      </c>
      <c r="B1414" s="30" t="s">
        <v>2779</v>
      </c>
      <c r="C1414" s="31">
        <v>0</v>
      </c>
      <c r="D1414" s="31">
        <v>0</v>
      </c>
      <c r="E1414" s="31">
        <v>0</v>
      </c>
      <c r="F1414" s="31">
        <v>0</v>
      </c>
      <c r="G1414" s="29"/>
    </row>
    <row r="1415" spans="1:7" x14ac:dyDescent="0.25">
      <c r="A1415" s="23" t="s">
        <v>2179</v>
      </c>
      <c r="B1415" s="23" t="s">
        <v>2</v>
      </c>
      <c r="C1415" s="32">
        <v>3896.92</v>
      </c>
      <c r="D1415" s="32">
        <v>0</v>
      </c>
      <c r="E1415" s="32">
        <f>SUM(E1412:E1414)</f>
        <v>3000</v>
      </c>
      <c r="F1415" s="32">
        <f>SUM(F1412:F1414)</f>
        <v>0</v>
      </c>
      <c r="G1415" s="29"/>
    </row>
    <row r="1416" spans="1:7" x14ac:dyDescent="0.25">
      <c r="A1416" s="23" t="s">
        <v>2</v>
      </c>
      <c r="B1416" s="23" t="s">
        <v>2</v>
      </c>
      <c r="C1416" s="23" t="s">
        <v>2</v>
      </c>
      <c r="D1416" s="23" t="s">
        <v>2</v>
      </c>
      <c r="E1416" s="23" t="s">
        <v>2</v>
      </c>
      <c r="F1416" s="23" t="s">
        <v>2</v>
      </c>
      <c r="G1416" s="29"/>
    </row>
    <row r="1417" spans="1:7" x14ac:dyDescent="0.25">
      <c r="A1417" s="23" t="s">
        <v>2780</v>
      </c>
      <c r="B1417" s="23" t="s">
        <v>2</v>
      </c>
      <c r="C1417" s="29"/>
      <c r="D1417" s="29"/>
      <c r="E1417" s="29"/>
      <c r="F1417" s="29"/>
      <c r="G1417" s="29"/>
    </row>
    <row r="1418" spans="1:7" x14ac:dyDescent="0.25">
      <c r="A1418" s="30" t="s">
        <v>2781</v>
      </c>
      <c r="B1418" s="30" t="s">
        <v>2782</v>
      </c>
      <c r="C1418" s="31">
        <v>14660.39</v>
      </c>
      <c r="D1418" s="31">
        <v>0</v>
      </c>
      <c r="E1418" s="31">
        <v>14424.3</v>
      </c>
      <c r="F1418" s="31">
        <v>0</v>
      </c>
      <c r="G1418" s="29"/>
    </row>
    <row r="1419" spans="1:7" x14ac:dyDescent="0.25">
      <c r="A1419" s="23" t="s">
        <v>2783</v>
      </c>
      <c r="B1419" s="23" t="s">
        <v>2</v>
      </c>
      <c r="C1419" s="32">
        <v>14660.39</v>
      </c>
      <c r="D1419" s="32">
        <v>0</v>
      </c>
      <c r="E1419" s="32">
        <f>SUM(E1418)</f>
        <v>14424.3</v>
      </c>
      <c r="F1419" s="32">
        <f>SUM(F1418)</f>
        <v>0</v>
      </c>
      <c r="G1419" s="29"/>
    </row>
    <row r="1420" spans="1:7" x14ac:dyDescent="0.25">
      <c r="A1420" s="23" t="s">
        <v>2</v>
      </c>
      <c r="B1420" s="23" t="s">
        <v>2</v>
      </c>
      <c r="C1420" s="23" t="s">
        <v>2</v>
      </c>
      <c r="D1420" s="23" t="s">
        <v>2</v>
      </c>
      <c r="E1420" s="23" t="s">
        <v>2</v>
      </c>
      <c r="F1420" s="23" t="s">
        <v>2</v>
      </c>
      <c r="G1420" s="29"/>
    </row>
    <row r="1421" spans="1:7" x14ac:dyDescent="0.25">
      <c r="A1421" s="23" t="s">
        <v>2180</v>
      </c>
      <c r="B1421" s="23" t="s">
        <v>2</v>
      </c>
      <c r="C1421" s="32">
        <v>18557.310000000001</v>
      </c>
      <c r="D1421" s="32">
        <v>0</v>
      </c>
      <c r="E1421" s="32">
        <f>E1415+E1419</f>
        <v>17424.3</v>
      </c>
      <c r="F1421" s="32">
        <f>F1415+F1419</f>
        <v>0</v>
      </c>
      <c r="G1421" s="29"/>
    </row>
    <row r="1422" spans="1:7" x14ac:dyDescent="0.25">
      <c r="A1422" s="23" t="s">
        <v>2</v>
      </c>
      <c r="B1422" s="23" t="s">
        <v>2</v>
      </c>
      <c r="C1422" s="23" t="s">
        <v>2</v>
      </c>
      <c r="D1422" s="23" t="s">
        <v>2</v>
      </c>
      <c r="E1422" s="23" t="s">
        <v>2</v>
      </c>
      <c r="F1422" s="23" t="s">
        <v>2</v>
      </c>
      <c r="G1422" s="29"/>
    </row>
    <row r="1423" spans="1:7" x14ac:dyDescent="0.25">
      <c r="A1423" s="23" t="s">
        <v>2553</v>
      </c>
      <c r="B1423" s="23" t="s">
        <v>2</v>
      </c>
      <c r="C1423" s="29"/>
      <c r="D1423" s="29"/>
      <c r="E1423" s="29"/>
      <c r="F1423" s="29"/>
      <c r="G1423" s="29"/>
    </row>
    <row r="1424" spans="1:7" x14ac:dyDescent="0.25">
      <c r="A1424" s="23" t="s">
        <v>2724</v>
      </c>
      <c r="B1424" s="23" t="s">
        <v>2</v>
      </c>
      <c r="C1424" s="29"/>
      <c r="D1424" s="29"/>
      <c r="E1424" s="29"/>
      <c r="F1424" s="29"/>
      <c r="G1424" s="29"/>
    </row>
    <row r="1425" spans="1:7" x14ac:dyDescent="0.25">
      <c r="A1425" s="30" t="s">
        <v>2784</v>
      </c>
      <c r="B1425" s="30" t="s">
        <v>2785</v>
      </c>
      <c r="C1425" s="31">
        <v>0</v>
      </c>
      <c r="D1425" s="31">
        <v>0</v>
      </c>
      <c r="E1425" s="31">
        <v>0</v>
      </c>
      <c r="F1425" s="31">
        <v>0</v>
      </c>
      <c r="G1425" s="29"/>
    </row>
    <row r="1426" spans="1:7" x14ac:dyDescent="0.25">
      <c r="A1426" s="23" t="s">
        <v>2725</v>
      </c>
      <c r="B1426" s="23" t="s">
        <v>2</v>
      </c>
      <c r="C1426" s="32">
        <v>0</v>
      </c>
      <c r="D1426" s="32">
        <v>0</v>
      </c>
      <c r="E1426" s="32">
        <f>SUM(E1425)</f>
        <v>0</v>
      </c>
      <c r="F1426" s="32">
        <f>SUM(F1425)</f>
        <v>0</v>
      </c>
      <c r="G1426" s="29"/>
    </row>
    <row r="1427" spans="1:7" x14ac:dyDescent="0.25">
      <c r="A1427" s="23" t="s">
        <v>2</v>
      </c>
      <c r="B1427" s="23" t="s">
        <v>2</v>
      </c>
      <c r="C1427" s="23" t="s">
        <v>2</v>
      </c>
      <c r="D1427" s="23" t="s">
        <v>2</v>
      </c>
      <c r="E1427" s="23" t="s">
        <v>2</v>
      </c>
      <c r="F1427" s="23" t="s">
        <v>2</v>
      </c>
      <c r="G1427" s="29"/>
    </row>
    <row r="1428" spans="1:7" x14ac:dyDescent="0.25">
      <c r="A1428" s="23" t="s">
        <v>2047</v>
      </c>
      <c r="B1428" s="23" t="s">
        <v>2</v>
      </c>
      <c r="C1428" s="32">
        <v>18557.310000000001</v>
      </c>
      <c r="D1428" s="32">
        <v>0</v>
      </c>
      <c r="E1428" s="32">
        <f>E1426+E1421</f>
        <v>17424.3</v>
      </c>
      <c r="F1428" s="32">
        <f>F1426+F1421</f>
        <v>0</v>
      </c>
      <c r="G1428" s="29"/>
    </row>
    <row r="1429" spans="1:7" ht="15" customHeight="1" x14ac:dyDescent="0.25">
      <c r="A1429" s="1" t="s">
        <v>740</v>
      </c>
      <c r="B1429" s="1" t="s">
        <v>2</v>
      </c>
      <c r="D1429" s="40"/>
    </row>
    <row r="1430" spans="1:7" ht="15" customHeight="1" x14ac:dyDescent="0.25">
      <c r="A1430" s="1" t="s">
        <v>556</v>
      </c>
      <c r="B1430" s="1" t="s">
        <v>2</v>
      </c>
    </row>
    <row r="1431" spans="1:7" ht="26.25" customHeight="1" x14ac:dyDescent="0.25">
      <c r="A1431" s="1" t="s">
        <v>1161</v>
      </c>
      <c r="B1431" s="1" t="s">
        <v>2</v>
      </c>
    </row>
    <row r="1432" spans="1:7" ht="15" customHeight="1" x14ac:dyDescent="0.25">
      <c r="A1432" s="2" t="s">
        <v>1162</v>
      </c>
      <c r="B1432" s="2" t="s">
        <v>1163</v>
      </c>
      <c r="C1432" s="3">
        <v>32111.62</v>
      </c>
      <c r="D1432" s="3">
        <v>0</v>
      </c>
      <c r="E1432" s="3">
        <v>28000</v>
      </c>
      <c r="F1432" s="5">
        <v>0</v>
      </c>
    </row>
    <row r="1433" spans="1:7" ht="27.75" customHeight="1" x14ac:dyDescent="0.25">
      <c r="A1433" s="1" t="s">
        <v>1164</v>
      </c>
      <c r="B1433" s="1" t="s">
        <v>2</v>
      </c>
      <c r="C1433" s="4">
        <v>32111.62</v>
      </c>
      <c r="D1433" s="4">
        <v>0</v>
      </c>
      <c r="E1433" s="6">
        <f>SUM(E1432)</f>
        <v>28000</v>
      </c>
      <c r="F1433" s="6">
        <f>SUM(F1432)</f>
        <v>0</v>
      </c>
    </row>
    <row r="1434" spans="1:7" x14ac:dyDescent="0.25">
      <c r="A1434" s="1" t="s">
        <v>2</v>
      </c>
      <c r="B1434" s="1" t="s">
        <v>2</v>
      </c>
      <c r="C1434" s="1" t="s">
        <v>2</v>
      </c>
      <c r="D1434" s="1" t="s">
        <v>2</v>
      </c>
      <c r="E1434" s="1" t="s">
        <v>2</v>
      </c>
      <c r="F1434" s="1" t="s">
        <v>2</v>
      </c>
    </row>
    <row r="1435" spans="1:7" ht="15" customHeight="1" x14ac:dyDescent="0.25">
      <c r="A1435" s="1" t="s">
        <v>1153</v>
      </c>
      <c r="B1435" s="1" t="s">
        <v>2</v>
      </c>
    </row>
    <row r="1436" spans="1:7" ht="15" customHeight="1" x14ac:dyDescent="0.25">
      <c r="A1436" s="2" t="s">
        <v>1165</v>
      </c>
      <c r="B1436" s="2" t="s">
        <v>1166</v>
      </c>
      <c r="C1436" s="3">
        <v>4500.38</v>
      </c>
      <c r="D1436" s="3">
        <v>0</v>
      </c>
      <c r="E1436" s="3">
        <v>2902</v>
      </c>
      <c r="F1436" s="5">
        <v>0</v>
      </c>
    </row>
    <row r="1437" spans="1:7" ht="15" customHeight="1" x14ac:dyDescent="0.25">
      <c r="A1437" s="1" t="s">
        <v>1158</v>
      </c>
      <c r="B1437" s="1" t="s">
        <v>2</v>
      </c>
      <c r="C1437" s="4">
        <v>4500.38</v>
      </c>
      <c r="D1437" s="4">
        <v>0</v>
      </c>
      <c r="E1437" s="6">
        <f>SUM(E1436)</f>
        <v>2902</v>
      </c>
      <c r="F1437" s="6">
        <f>SUM(F1436)</f>
        <v>0</v>
      </c>
    </row>
    <row r="1438" spans="1:7" x14ac:dyDescent="0.25">
      <c r="A1438" s="1" t="s">
        <v>2</v>
      </c>
      <c r="B1438" s="1" t="s">
        <v>2</v>
      </c>
      <c r="C1438" s="1" t="s">
        <v>2</v>
      </c>
      <c r="D1438" s="1" t="s">
        <v>2</v>
      </c>
      <c r="E1438" s="1" t="s">
        <v>2</v>
      </c>
      <c r="F1438" s="1" t="s">
        <v>2</v>
      </c>
    </row>
    <row r="1439" spans="1:7" ht="15" customHeight="1" x14ac:dyDescent="0.25">
      <c r="A1439" s="1" t="s">
        <v>706</v>
      </c>
      <c r="B1439" s="1" t="s">
        <v>2</v>
      </c>
    </row>
    <row r="1440" spans="1:7" x14ac:dyDescent="0.25">
      <c r="A1440" s="2" t="s">
        <v>1167</v>
      </c>
      <c r="B1440" s="2" t="s">
        <v>1168</v>
      </c>
      <c r="C1440" s="3">
        <v>0</v>
      </c>
      <c r="D1440" s="3">
        <v>0</v>
      </c>
      <c r="E1440" s="3">
        <v>0</v>
      </c>
      <c r="F1440" s="5">
        <v>0</v>
      </c>
    </row>
    <row r="1441" spans="1:7" ht="15" customHeight="1" x14ac:dyDescent="0.25">
      <c r="A1441" s="1" t="s">
        <v>737</v>
      </c>
      <c r="B1441" s="1" t="s">
        <v>2</v>
      </c>
      <c r="C1441" s="4">
        <v>0</v>
      </c>
      <c r="D1441" s="4">
        <v>0</v>
      </c>
      <c r="E1441" s="6">
        <f>SUM(E1440)</f>
        <v>0</v>
      </c>
      <c r="F1441" s="6">
        <f>SUM(F1440)</f>
        <v>0</v>
      </c>
    </row>
    <row r="1442" spans="1:7" x14ac:dyDescent="0.25">
      <c r="A1442" s="1" t="s">
        <v>2</v>
      </c>
      <c r="B1442" s="1" t="s">
        <v>2</v>
      </c>
      <c r="C1442" s="1" t="s">
        <v>2</v>
      </c>
      <c r="D1442" s="1" t="s">
        <v>2</v>
      </c>
      <c r="E1442" s="1" t="s">
        <v>2</v>
      </c>
      <c r="F1442" s="1" t="s">
        <v>2</v>
      </c>
    </row>
    <row r="1443" spans="1:7" ht="15" customHeight="1" x14ac:dyDescent="0.25">
      <c r="A1443" s="1" t="s">
        <v>1169</v>
      </c>
      <c r="B1443" s="1" t="s">
        <v>2</v>
      </c>
      <c r="C1443" s="4">
        <v>36612</v>
      </c>
      <c r="D1443" s="4">
        <v>0</v>
      </c>
      <c r="E1443" s="6">
        <f>E1433+E1437+E1441</f>
        <v>30902</v>
      </c>
      <c r="F1443" s="6">
        <f>F1433+F1437+F1441</f>
        <v>0</v>
      </c>
    </row>
    <row r="1444" spans="1:7" ht="15" customHeight="1" x14ac:dyDescent="0.25">
      <c r="A1444" s="25" t="s">
        <v>2786</v>
      </c>
      <c r="B1444" s="25"/>
      <c r="C1444" s="33">
        <f>C1407+C1428-C1443</f>
        <v>14774.970000000001</v>
      </c>
      <c r="D1444" s="33">
        <f t="shared" ref="D1444:F1444" si="17">D1407+D1428-D1443</f>
        <v>14774.97</v>
      </c>
      <c r="E1444" s="33">
        <f t="shared" si="17"/>
        <v>1297.2699999999968</v>
      </c>
      <c r="F1444" s="33">
        <f t="shared" si="17"/>
        <v>1297.2699999999968</v>
      </c>
      <c r="G1444" s="25"/>
    </row>
    <row r="1445" spans="1:7" x14ac:dyDescent="0.25">
      <c r="A1445" s="1" t="s">
        <v>2</v>
      </c>
      <c r="B1445" s="1" t="s">
        <v>2</v>
      </c>
      <c r="C1445" s="1" t="s">
        <v>2</v>
      </c>
      <c r="D1445" s="1" t="s">
        <v>2</v>
      </c>
      <c r="E1445" s="1" t="s">
        <v>2</v>
      </c>
      <c r="F1445" s="1" t="s">
        <v>2</v>
      </c>
    </row>
    <row r="1446" spans="1:7" ht="15" customHeight="1" x14ac:dyDescent="0.25">
      <c r="A1446" s="27" t="s">
        <v>2787</v>
      </c>
      <c r="B1446" s="27" t="s">
        <v>2</v>
      </c>
      <c r="C1446" s="28">
        <v>29799.599999999999</v>
      </c>
      <c r="D1446" s="28">
        <v>29831.03</v>
      </c>
      <c r="E1446" s="28">
        <v>29831.03</v>
      </c>
      <c r="F1446" s="28">
        <f>E1458</f>
        <v>29831.03</v>
      </c>
      <c r="G1446" s="27"/>
    </row>
    <row r="1447" spans="1:7" x14ac:dyDescent="0.25">
      <c r="A1447" s="23" t="s">
        <v>1170</v>
      </c>
      <c r="B1447" s="23" t="s">
        <v>2</v>
      </c>
      <c r="C1447" s="29"/>
      <c r="D1447" s="29"/>
      <c r="E1447" s="29"/>
      <c r="F1447" s="29"/>
      <c r="G1447" s="29"/>
    </row>
    <row r="1448" spans="1:7" x14ac:dyDescent="0.25">
      <c r="A1448" s="23" t="s">
        <v>2026</v>
      </c>
      <c r="B1448" s="23" t="s">
        <v>2</v>
      </c>
      <c r="C1448" s="29"/>
      <c r="D1448" s="29"/>
      <c r="E1448" s="29"/>
      <c r="F1448" s="29"/>
      <c r="G1448" s="29"/>
    </row>
    <row r="1449" spans="1:7" x14ac:dyDescent="0.25">
      <c r="A1449" s="23" t="s">
        <v>2175</v>
      </c>
      <c r="B1449" s="23" t="s">
        <v>2</v>
      </c>
      <c r="C1449" s="29"/>
      <c r="D1449" s="29"/>
      <c r="E1449" s="29"/>
      <c r="F1449" s="29"/>
      <c r="G1449" s="29"/>
    </row>
    <row r="1450" spans="1:7" x14ac:dyDescent="0.25">
      <c r="A1450" s="23" t="s">
        <v>2176</v>
      </c>
      <c r="B1450" s="23" t="s">
        <v>2</v>
      </c>
      <c r="C1450" s="29"/>
      <c r="D1450" s="29"/>
      <c r="E1450" s="29"/>
      <c r="F1450" s="29"/>
      <c r="G1450" s="29"/>
    </row>
    <row r="1451" spans="1:7" x14ac:dyDescent="0.25">
      <c r="A1451" s="30" t="s">
        <v>2788</v>
      </c>
      <c r="B1451" s="30" t="s">
        <v>2409</v>
      </c>
      <c r="C1451" s="31">
        <v>31.43</v>
      </c>
      <c r="D1451" s="31">
        <v>21.94</v>
      </c>
      <c r="E1451" s="31">
        <v>0</v>
      </c>
      <c r="F1451" s="31">
        <v>0</v>
      </c>
      <c r="G1451" s="29"/>
    </row>
    <row r="1452" spans="1:7" x14ac:dyDescent="0.25">
      <c r="A1452" s="23" t="s">
        <v>2179</v>
      </c>
      <c r="B1452" s="23" t="s">
        <v>2</v>
      </c>
      <c r="C1452" s="32">
        <v>31.43</v>
      </c>
      <c r="D1452" s="32">
        <v>21.94</v>
      </c>
      <c r="E1452" s="32">
        <f>SUM(E1451)</f>
        <v>0</v>
      </c>
      <c r="F1452" s="32">
        <f>SUM(F1451)</f>
        <v>0</v>
      </c>
      <c r="G1452" s="29"/>
    </row>
    <row r="1453" spans="1:7" x14ac:dyDescent="0.25">
      <c r="A1453" s="23" t="s">
        <v>2</v>
      </c>
      <c r="B1453" s="23" t="s">
        <v>2</v>
      </c>
      <c r="C1453" s="23" t="s">
        <v>2</v>
      </c>
      <c r="D1453" s="23" t="s">
        <v>2</v>
      </c>
      <c r="E1453" s="23" t="s">
        <v>2</v>
      </c>
      <c r="F1453" s="23" t="s">
        <v>2</v>
      </c>
      <c r="G1453" s="29"/>
    </row>
    <row r="1454" spans="1:7" x14ac:dyDescent="0.25">
      <c r="A1454" s="23" t="s">
        <v>2047</v>
      </c>
      <c r="B1454" s="23" t="s">
        <v>2</v>
      </c>
      <c r="C1454" s="32">
        <v>31.43</v>
      </c>
      <c r="D1454" s="32">
        <v>21.94</v>
      </c>
      <c r="E1454" s="32">
        <f>E1452</f>
        <v>0</v>
      </c>
      <c r="F1454" s="32">
        <f>F1452</f>
        <v>0</v>
      </c>
      <c r="G1454" s="29"/>
    </row>
    <row r="1455" spans="1:7" ht="15" customHeight="1" x14ac:dyDescent="0.25">
      <c r="A1455" s="1" t="s">
        <v>740</v>
      </c>
      <c r="B1455" s="1" t="s">
        <v>2</v>
      </c>
      <c r="C1455" s="40"/>
    </row>
    <row r="1456" spans="1:7" ht="15" customHeight="1" x14ac:dyDescent="0.25">
      <c r="A1456" s="2" t="s">
        <v>1171</v>
      </c>
      <c r="B1456" s="2" t="s">
        <v>1172</v>
      </c>
      <c r="C1456" s="3">
        <v>0</v>
      </c>
      <c r="D1456" s="3">
        <v>0</v>
      </c>
      <c r="E1456" s="3">
        <v>0</v>
      </c>
      <c r="F1456" s="5">
        <v>0</v>
      </c>
    </row>
    <row r="1457" spans="1:7" ht="15" customHeight="1" x14ac:dyDescent="0.25">
      <c r="A1457" s="1" t="s">
        <v>1173</v>
      </c>
      <c r="B1457" s="1" t="s">
        <v>2</v>
      </c>
      <c r="C1457" s="4">
        <v>0</v>
      </c>
      <c r="D1457" s="4">
        <v>0</v>
      </c>
      <c r="E1457" s="6">
        <f>SUM(E1456)</f>
        <v>0</v>
      </c>
      <c r="F1457" s="6">
        <f>SUM(F1456)</f>
        <v>0</v>
      </c>
    </row>
    <row r="1458" spans="1:7" ht="15" customHeight="1" x14ac:dyDescent="0.25">
      <c r="A1458" s="25" t="s">
        <v>2789</v>
      </c>
      <c r="B1458" s="25"/>
      <c r="C1458" s="33">
        <f>C1446+C1454-C1457</f>
        <v>29831.03</v>
      </c>
      <c r="D1458" s="33">
        <f t="shared" ref="D1458:F1458" si="18">D1446+D1454-D1457</f>
        <v>29852.969999999998</v>
      </c>
      <c r="E1458" s="33">
        <f t="shared" si="18"/>
        <v>29831.03</v>
      </c>
      <c r="F1458" s="33">
        <f t="shared" si="18"/>
        <v>29831.03</v>
      </c>
      <c r="G1458" s="25"/>
    </row>
    <row r="1459" spans="1:7" x14ac:dyDescent="0.25">
      <c r="A1459" s="1" t="s">
        <v>2</v>
      </c>
      <c r="B1459" s="1" t="s">
        <v>2</v>
      </c>
      <c r="C1459" s="1" t="s">
        <v>2</v>
      </c>
      <c r="D1459" s="1" t="s">
        <v>2</v>
      </c>
      <c r="E1459" s="1" t="s">
        <v>2</v>
      </c>
      <c r="F1459" s="1" t="s">
        <v>2</v>
      </c>
    </row>
    <row r="1460" spans="1:7" ht="15" customHeight="1" x14ac:dyDescent="0.25">
      <c r="A1460" s="27" t="s">
        <v>2790</v>
      </c>
      <c r="B1460" s="27" t="s">
        <v>2</v>
      </c>
      <c r="C1460" s="28">
        <v>153.15</v>
      </c>
      <c r="D1460" s="28">
        <v>153.27000000000001</v>
      </c>
      <c r="E1460" s="28">
        <v>153.27000000000001</v>
      </c>
      <c r="F1460" s="28">
        <f>E1484</f>
        <v>153.27000000000001</v>
      </c>
      <c r="G1460" s="27"/>
    </row>
    <row r="1461" spans="1:7" x14ac:dyDescent="0.25">
      <c r="A1461" s="23" t="s">
        <v>1174</v>
      </c>
      <c r="B1461" s="23" t="s">
        <v>2</v>
      </c>
      <c r="C1461" s="29"/>
      <c r="D1461" s="29"/>
      <c r="E1461" s="29"/>
      <c r="F1461" s="29"/>
      <c r="G1461" s="29"/>
    </row>
    <row r="1462" spans="1:7" x14ac:dyDescent="0.25">
      <c r="A1462" s="23" t="s">
        <v>2026</v>
      </c>
      <c r="B1462" s="23" t="s">
        <v>2</v>
      </c>
      <c r="C1462" s="29"/>
      <c r="D1462" s="29"/>
      <c r="E1462" s="29"/>
      <c r="F1462" s="29"/>
      <c r="G1462" s="29"/>
    </row>
    <row r="1463" spans="1:7" x14ac:dyDescent="0.25">
      <c r="A1463" s="23" t="s">
        <v>2175</v>
      </c>
      <c r="B1463" s="23" t="s">
        <v>2</v>
      </c>
      <c r="C1463" s="29"/>
      <c r="D1463" s="29"/>
      <c r="E1463" s="29"/>
      <c r="F1463" s="29"/>
      <c r="G1463" s="29"/>
    </row>
    <row r="1464" spans="1:7" x14ac:dyDescent="0.25">
      <c r="A1464" s="23" t="s">
        <v>2176</v>
      </c>
      <c r="B1464" s="23" t="s">
        <v>2</v>
      </c>
      <c r="C1464" s="29"/>
      <c r="D1464" s="29"/>
      <c r="E1464" s="29"/>
      <c r="F1464" s="29"/>
      <c r="G1464" s="29"/>
    </row>
    <row r="1465" spans="1:7" x14ac:dyDescent="0.25">
      <c r="A1465" s="30" t="s">
        <v>2791</v>
      </c>
      <c r="B1465" s="30" t="s">
        <v>2409</v>
      </c>
      <c r="C1465" s="31">
        <v>0.12</v>
      </c>
      <c r="D1465" s="31">
        <v>0.08</v>
      </c>
      <c r="E1465" s="31">
        <v>0</v>
      </c>
      <c r="F1465" s="31">
        <v>0</v>
      </c>
      <c r="G1465" s="29"/>
    </row>
    <row r="1466" spans="1:7" x14ac:dyDescent="0.25">
      <c r="A1466" s="23" t="s">
        <v>2179</v>
      </c>
      <c r="B1466" s="23" t="s">
        <v>2</v>
      </c>
      <c r="C1466" s="32">
        <v>0.12</v>
      </c>
      <c r="D1466" s="32">
        <v>0.08</v>
      </c>
      <c r="E1466" s="32">
        <f>SUM(E1465)</f>
        <v>0</v>
      </c>
      <c r="F1466" s="32">
        <f>SUM(F1465)</f>
        <v>0</v>
      </c>
      <c r="G1466" s="29"/>
    </row>
    <row r="1467" spans="1:7" x14ac:dyDescent="0.25">
      <c r="A1467" s="23" t="s">
        <v>2</v>
      </c>
      <c r="B1467" s="23" t="s">
        <v>2</v>
      </c>
      <c r="C1467" s="23" t="s">
        <v>2</v>
      </c>
      <c r="D1467" s="23" t="s">
        <v>2</v>
      </c>
      <c r="E1467" s="23" t="s">
        <v>2</v>
      </c>
      <c r="F1467" s="23" t="s">
        <v>2</v>
      </c>
      <c r="G1467" s="29"/>
    </row>
    <row r="1468" spans="1:7" x14ac:dyDescent="0.25">
      <c r="A1468" s="23" t="s">
        <v>2724</v>
      </c>
      <c r="B1468" s="23" t="s">
        <v>2</v>
      </c>
      <c r="C1468" s="29"/>
      <c r="D1468" s="29"/>
      <c r="E1468" s="29"/>
      <c r="F1468" s="29"/>
      <c r="G1468" s="29"/>
    </row>
    <row r="1469" spans="1:7" x14ac:dyDescent="0.25">
      <c r="A1469" s="30" t="s">
        <v>2792</v>
      </c>
      <c r="B1469" s="30" t="s">
        <v>2793</v>
      </c>
      <c r="C1469" s="31">
        <v>77066.22</v>
      </c>
      <c r="D1469" s="31">
        <v>0</v>
      </c>
      <c r="E1469" s="31">
        <v>0</v>
      </c>
      <c r="F1469" s="31">
        <v>0</v>
      </c>
      <c r="G1469" s="29"/>
    </row>
    <row r="1470" spans="1:7" x14ac:dyDescent="0.25">
      <c r="A1470" s="23" t="s">
        <v>2725</v>
      </c>
      <c r="B1470" s="23" t="s">
        <v>2</v>
      </c>
      <c r="C1470" s="32">
        <v>77066.22</v>
      </c>
      <c r="D1470" s="32">
        <v>0</v>
      </c>
      <c r="E1470" s="32">
        <f>SUM(E1469)</f>
        <v>0</v>
      </c>
      <c r="F1470" s="32">
        <f>SUM(F1469)</f>
        <v>0</v>
      </c>
      <c r="G1470" s="29"/>
    </row>
    <row r="1471" spans="1:7" x14ac:dyDescent="0.25">
      <c r="A1471" s="23" t="s">
        <v>2</v>
      </c>
      <c r="B1471" s="23" t="s">
        <v>2</v>
      </c>
      <c r="C1471" s="23" t="s">
        <v>2</v>
      </c>
      <c r="D1471" s="23" t="s">
        <v>2</v>
      </c>
      <c r="E1471" s="23" t="s">
        <v>2</v>
      </c>
      <c r="F1471" s="23" t="s">
        <v>2</v>
      </c>
      <c r="G1471" s="29"/>
    </row>
    <row r="1472" spans="1:7" x14ac:dyDescent="0.25">
      <c r="A1472" s="23" t="s">
        <v>2047</v>
      </c>
      <c r="B1472" s="23" t="s">
        <v>2</v>
      </c>
      <c r="C1472" s="32">
        <v>77066.34</v>
      </c>
      <c r="D1472" s="32">
        <v>0.08</v>
      </c>
      <c r="E1472" s="32">
        <f>E1466+E1470</f>
        <v>0</v>
      </c>
      <c r="F1472" s="32">
        <f>F1466+F1470</f>
        <v>0</v>
      </c>
      <c r="G1472" s="29"/>
    </row>
    <row r="1473" spans="1:7" ht="15" customHeight="1" x14ac:dyDescent="0.25">
      <c r="A1473" s="1" t="s">
        <v>740</v>
      </c>
      <c r="B1473" s="1" t="s">
        <v>2</v>
      </c>
      <c r="C1473" s="40"/>
      <c r="D1473" s="40"/>
      <c r="E1473" s="40"/>
    </row>
    <row r="1474" spans="1:7" ht="15" customHeight="1" x14ac:dyDescent="0.25">
      <c r="A1474" s="1" t="s">
        <v>556</v>
      </c>
      <c r="B1474" s="1" t="s">
        <v>2</v>
      </c>
    </row>
    <row r="1475" spans="1:7" ht="29.25" customHeight="1" x14ac:dyDescent="0.25">
      <c r="A1475" s="1" t="s">
        <v>1161</v>
      </c>
      <c r="B1475" s="1" t="s">
        <v>2</v>
      </c>
    </row>
    <row r="1476" spans="1:7" ht="15" customHeight="1" x14ac:dyDescent="0.25">
      <c r="A1476" s="2" t="s">
        <v>1175</v>
      </c>
      <c r="B1476" s="2" t="s">
        <v>1163</v>
      </c>
      <c r="C1476" s="3">
        <v>74169.600000000006</v>
      </c>
      <c r="D1476" s="3">
        <v>0</v>
      </c>
      <c r="E1476" s="3">
        <v>0</v>
      </c>
      <c r="F1476" s="5">
        <v>0</v>
      </c>
    </row>
    <row r="1477" spans="1:7" ht="27.75" customHeight="1" x14ac:dyDescent="0.25">
      <c r="A1477" s="1" t="s">
        <v>1164</v>
      </c>
      <c r="B1477" s="1" t="s">
        <v>2</v>
      </c>
      <c r="C1477" s="4">
        <v>74169.600000000006</v>
      </c>
      <c r="D1477" s="4">
        <v>0</v>
      </c>
      <c r="E1477" s="6">
        <f>SUM(E1476)</f>
        <v>0</v>
      </c>
      <c r="F1477" s="6">
        <f>SUM(F1476)</f>
        <v>0</v>
      </c>
    </row>
    <row r="1478" spans="1:7" x14ac:dyDescent="0.25">
      <c r="A1478" s="1" t="s">
        <v>2</v>
      </c>
      <c r="B1478" s="1" t="s">
        <v>2</v>
      </c>
      <c r="C1478" s="1" t="s">
        <v>2</v>
      </c>
      <c r="D1478" s="1" t="s">
        <v>2</v>
      </c>
      <c r="E1478" s="1" t="s">
        <v>2</v>
      </c>
      <c r="F1478" s="1" t="s">
        <v>2</v>
      </c>
    </row>
    <row r="1479" spans="1:7" ht="15" customHeight="1" x14ac:dyDescent="0.25">
      <c r="A1479" s="1" t="s">
        <v>1153</v>
      </c>
      <c r="B1479" s="1" t="s">
        <v>2</v>
      </c>
    </row>
    <row r="1480" spans="1:7" ht="15" customHeight="1" x14ac:dyDescent="0.25">
      <c r="A1480" s="2" t="s">
        <v>1176</v>
      </c>
      <c r="B1480" s="2" t="s">
        <v>1166</v>
      </c>
      <c r="C1480" s="3">
        <v>2896.62</v>
      </c>
      <c r="D1480" s="3">
        <v>0</v>
      </c>
      <c r="E1480" s="3">
        <v>0</v>
      </c>
      <c r="F1480" s="5">
        <v>0</v>
      </c>
    </row>
    <row r="1481" spans="1:7" ht="15" customHeight="1" x14ac:dyDescent="0.25">
      <c r="A1481" s="1" t="s">
        <v>1158</v>
      </c>
      <c r="B1481" s="1" t="s">
        <v>2</v>
      </c>
      <c r="C1481" s="4">
        <v>2896.62</v>
      </c>
      <c r="D1481" s="4">
        <v>0</v>
      </c>
      <c r="E1481" s="6">
        <f>SUM(E1480)</f>
        <v>0</v>
      </c>
      <c r="F1481" s="6">
        <f>SUM(F1480)</f>
        <v>0</v>
      </c>
    </row>
    <row r="1482" spans="1:7" x14ac:dyDescent="0.25">
      <c r="A1482" s="1" t="s">
        <v>2</v>
      </c>
      <c r="B1482" s="1" t="s">
        <v>2</v>
      </c>
      <c r="C1482" s="1" t="s">
        <v>2</v>
      </c>
      <c r="D1482" s="1" t="s">
        <v>2</v>
      </c>
      <c r="E1482" s="1" t="s">
        <v>2</v>
      </c>
      <c r="F1482" s="1" t="s">
        <v>2</v>
      </c>
    </row>
    <row r="1483" spans="1:7" ht="15" customHeight="1" x14ac:dyDescent="0.25">
      <c r="A1483" s="1" t="s">
        <v>1177</v>
      </c>
      <c r="B1483" s="1" t="s">
        <v>2</v>
      </c>
      <c r="C1483" s="4">
        <v>77066.22</v>
      </c>
      <c r="D1483" s="4">
        <v>0</v>
      </c>
      <c r="E1483" s="6">
        <f>E1481+E1477</f>
        <v>0</v>
      </c>
      <c r="F1483" s="6">
        <f>F1481+F1477</f>
        <v>0</v>
      </c>
    </row>
    <row r="1484" spans="1:7" ht="15" customHeight="1" x14ac:dyDescent="0.25">
      <c r="A1484" s="25" t="s">
        <v>2794</v>
      </c>
      <c r="B1484" s="25" t="s">
        <v>2</v>
      </c>
      <c r="C1484" s="33">
        <f>C1460+C1472-C1483</f>
        <v>153.26999999998952</v>
      </c>
      <c r="D1484" s="33">
        <f t="shared" ref="D1484:F1484" si="19">D1460+D1472-D1483</f>
        <v>153.35000000000002</v>
      </c>
      <c r="E1484" s="33">
        <f t="shared" si="19"/>
        <v>153.27000000000001</v>
      </c>
      <c r="F1484" s="33">
        <f t="shared" si="19"/>
        <v>153.27000000000001</v>
      </c>
      <c r="G1484" s="25"/>
    </row>
    <row r="1485" spans="1:7" x14ac:dyDescent="0.25">
      <c r="A1485" s="1" t="s">
        <v>2</v>
      </c>
      <c r="B1485" s="1" t="s">
        <v>2</v>
      </c>
      <c r="C1485" s="36"/>
      <c r="D1485" s="36"/>
      <c r="E1485" s="36"/>
      <c r="F1485" s="1" t="s">
        <v>2</v>
      </c>
    </row>
    <row r="1486" spans="1:7" ht="15" customHeight="1" x14ac:dyDescent="0.25">
      <c r="A1486" s="27" t="s">
        <v>2795</v>
      </c>
      <c r="B1486" s="27"/>
      <c r="C1486" s="28">
        <v>-230675.54</v>
      </c>
      <c r="D1486" s="28">
        <v>14573.03</v>
      </c>
      <c r="E1486" s="28">
        <v>14573.03</v>
      </c>
      <c r="F1486" s="28">
        <f>E1529</f>
        <v>13874.030000000028</v>
      </c>
      <c r="G1486" s="27"/>
    </row>
    <row r="1487" spans="1:7" ht="28.5" customHeight="1" x14ac:dyDescent="0.25">
      <c r="A1487" s="23" t="s">
        <v>2815</v>
      </c>
      <c r="B1487" s="23" t="s">
        <v>2</v>
      </c>
      <c r="C1487" s="29"/>
      <c r="D1487" s="29"/>
      <c r="E1487" s="29"/>
      <c r="F1487" s="29"/>
      <c r="G1487" s="29"/>
    </row>
    <row r="1488" spans="1:7" x14ac:dyDescent="0.25">
      <c r="A1488" s="23" t="s">
        <v>2026</v>
      </c>
      <c r="B1488" s="23" t="s">
        <v>2</v>
      </c>
      <c r="C1488" s="29"/>
      <c r="D1488" s="29"/>
      <c r="E1488" s="29"/>
      <c r="F1488" s="29"/>
      <c r="G1488" s="29"/>
    </row>
    <row r="1489" spans="1:7" x14ac:dyDescent="0.25">
      <c r="A1489" s="23"/>
      <c r="B1489" s="23"/>
      <c r="C1489" s="29"/>
      <c r="D1489" s="29"/>
      <c r="E1489" s="29"/>
      <c r="F1489" s="29"/>
      <c r="G1489" s="29"/>
    </row>
    <row r="1490" spans="1:7" x14ac:dyDescent="0.25">
      <c r="A1490" s="23" t="s">
        <v>2102</v>
      </c>
      <c r="B1490" s="23" t="s">
        <v>2</v>
      </c>
      <c r="C1490" s="29"/>
      <c r="D1490" s="29"/>
      <c r="E1490" s="29"/>
      <c r="F1490" s="29"/>
      <c r="G1490" s="29"/>
    </row>
    <row r="1491" spans="1:7" x14ac:dyDescent="0.25">
      <c r="A1491" s="23" t="s">
        <v>2796</v>
      </c>
      <c r="B1491" s="23" t="s">
        <v>2</v>
      </c>
      <c r="C1491" s="29"/>
      <c r="D1491" s="29"/>
      <c r="E1491" s="29"/>
      <c r="F1491" s="29"/>
      <c r="G1491" s="29"/>
    </row>
    <row r="1492" spans="1:7" x14ac:dyDescent="0.25">
      <c r="A1492" s="30" t="s">
        <v>2797</v>
      </c>
      <c r="B1492" s="30" t="s">
        <v>2798</v>
      </c>
      <c r="C1492" s="31">
        <v>4045.29</v>
      </c>
      <c r="D1492" s="31">
        <v>0</v>
      </c>
      <c r="E1492" s="31">
        <v>0</v>
      </c>
      <c r="F1492" s="31">
        <v>0</v>
      </c>
      <c r="G1492" s="29"/>
    </row>
    <row r="1493" spans="1:7" x14ac:dyDescent="0.25">
      <c r="A1493" s="23" t="s">
        <v>2799</v>
      </c>
      <c r="B1493" s="23" t="s">
        <v>2</v>
      </c>
      <c r="C1493" s="32">
        <v>4045.29</v>
      </c>
      <c r="D1493" s="32">
        <v>0</v>
      </c>
      <c r="E1493" s="32">
        <f>SUM(E1492)</f>
        <v>0</v>
      </c>
      <c r="F1493" s="32">
        <f>SUM(F1492)</f>
        <v>0</v>
      </c>
      <c r="G1493" s="29"/>
    </row>
    <row r="1494" spans="1:7" x14ac:dyDescent="0.25">
      <c r="A1494" s="23" t="s">
        <v>2</v>
      </c>
      <c r="B1494" s="23" t="s">
        <v>2</v>
      </c>
      <c r="C1494" s="23" t="s">
        <v>2</v>
      </c>
      <c r="D1494" s="23" t="s">
        <v>2</v>
      </c>
      <c r="E1494" s="23" t="s">
        <v>2</v>
      </c>
      <c r="F1494" s="23" t="s">
        <v>2</v>
      </c>
      <c r="G1494" s="29"/>
    </row>
    <row r="1495" spans="1:7" x14ac:dyDescent="0.25">
      <c r="A1495" s="23" t="s">
        <v>2175</v>
      </c>
      <c r="B1495" s="23" t="s">
        <v>2</v>
      </c>
      <c r="C1495" s="29"/>
      <c r="D1495" s="29"/>
      <c r="E1495" s="29"/>
      <c r="F1495" s="29"/>
      <c r="G1495" s="29"/>
    </row>
    <row r="1496" spans="1:7" x14ac:dyDescent="0.25">
      <c r="A1496" s="23" t="s">
        <v>2176</v>
      </c>
      <c r="B1496" s="23" t="s">
        <v>2</v>
      </c>
      <c r="C1496" s="29"/>
      <c r="D1496" s="29"/>
      <c r="E1496" s="29"/>
      <c r="F1496" s="29"/>
      <c r="G1496" s="29"/>
    </row>
    <row r="1497" spans="1:7" x14ac:dyDescent="0.25">
      <c r="A1497" s="30" t="s">
        <v>2800</v>
      </c>
      <c r="B1497" s="30" t="s">
        <v>2409</v>
      </c>
      <c r="C1497" s="31">
        <v>0.85</v>
      </c>
      <c r="D1497" s="31">
        <v>0.6</v>
      </c>
      <c r="E1497" s="31">
        <v>0</v>
      </c>
      <c r="F1497" s="31">
        <v>0</v>
      </c>
      <c r="G1497" s="29"/>
    </row>
    <row r="1498" spans="1:7" x14ac:dyDescent="0.25">
      <c r="A1498" s="23" t="s">
        <v>2179</v>
      </c>
      <c r="B1498" s="23" t="s">
        <v>2</v>
      </c>
      <c r="C1498" s="32">
        <v>0.85</v>
      </c>
      <c r="D1498" s="32">
        <v>0.6</v>
      </c>
      <c r="E1498" s="32">
        <f>SUM(E1497)</f>
        <v>0</v>
      </c>
      <c r="F1498" s="32">
        <f>SUM(F1497)</f>
        <v>0</v>
      </c>
      <c r="G1498" s="29"/>
    </row>
    <row r="1499" spans="1:7" x14ac:dyDescent="0.25">
      <c r="A1499" s="23" t="s">
        <v>2</v>
      </c>
      <c r="B1499" s="23" t="s">
        <v>2</v>
      </c>
      <c r="C1499" s="23" t="s">
        <v>2</v>
      </c>
      <c r="D1499" s="23" t="s">
        <v>2</v>
      </c>
      <c r="E1499" s="23" t="s">
        <v>2</v>
      </c>
      <c r="F1499" s="23" t="s">
        <v>2</v>
      </c>
      <c r="G1499" s="29"/>
    </row>
    <row r="1500" spans="1:7" x14ac:dyDescent="0.25">
      <c r="A1500" s="30" t="s">
        <v>2801</v>
      </c>
      <c r="B1500" s="30" t="s">
        <v>704</v>
      </c>
      <c r="C1500" s="31">
        <v>263317.43</v>
      </c>
      <c r="D1500" s="31">
        <v>0</v>
      </c>
      <c r="E1500" s="31">
        <v>0</v>
      </c>
      <c r="F1500" s="31">
        <v>0</v>
      </c>
      <c r="G1500" s="29"/>
    </row>
    <row r="1501" spans="1:7" x14ac:dyDescent="0.25">
      <c r="A1501" s="30"/>
      <c r="B1501" s="30"/>
      <c r="C1501" s="31"/>
      <c r="D1501" s="31"/>
      <c r="E1501" s="31"/>
      <c r="F1501" s="31"/>
      <c r="G1501" s="29"/>
    </row>
    <row r="1502" spans="1:7" x14ac:dyDescent="0.25">
      <c r="A1502" s="23" t="s">
        <v>2553</v>
      </c>
      <c r="B1502" s="23" t="s">
        <v>2</v>
      </c>
      <c r="C1502" s="29"/>
      <c r="D1502" s="29"/>
      <c r="E1502" s="29"/>
      <c r="F1502" s="29"/>
      <c r="G1502" s="29"/>
    </row>
    <row r="1503" spans="1:7" x14ac:dyDescent="0.25">
      <c r="A1503" s="30" t="s">
        <v>2802</v>
      </c>
      <c r="B1503" s="30" t="s">
        <v>2803</v>
      </c>
      <c r="C1503" s="31">
        <v>0</v>
      </c>
      <c r="D1503" s="31">
        <v>0</v>
      </c>
      <c r="E1503" s="31">
        <v>0</v>
      </c>
      <c r="F1503" s="31">
        <v>0</v>
      </c>
      <c r="G1503" s="29"/>
    </row>
    <row r="1504" spans="1:7" x14ac:dyDescent="0.25">
      <c r="A1504" s="30" t="s">
        <v>2804</v>
      </c>
      <c r="B1504" s="30" t="s">
        <v>2805</v>
      </c>
      <c r="C1504" s="31">
        <v>0</v>
      </c>
      <c r="D1504" s="31">
        <v>0</v>
      </c>
      <c r="E1504" s="31">
        <v>0</v>
      </c>
      <c r="F1504" s="31">
        <v>0</v>
      </c>
      <c r="G1504" s="29"/>
    </row>
    <row r="1505" spans="1:7" x14ac:dyDescent="0.25">
      <c r="A1505" s="30"/>
      <c r="B1505" s="30"/>
      <c r="C1505" s="31"/>
      <c r="D1505" s="31"/>
      <c r="E1505" s="31"/>
      <c r="F1505" s="31"/>
      <c r="G1505" s="29"/>
    </row>
    <row r="1506" spans="1:7" x14ac:dyDescent="0.25">
      <c r="A1506" s="23" t="s">
        <v>2724</v>
      </c>
      <c r="B1506" s="23" t="s">
        <v>2</v>
      </c>
      <c r="C1506" s="29"/>
      <c r="D1506" s="29"/>
      <c r="E1506" s="29"/>
      <c r="F1506" s="29"/>
      <c r="G1506" s="29"/>
    </row>
    <row r="1507" spans="1:7" x14ac:dyDescent="0.25">
      <c r="A1507" s="30" t="s">
        <v>2806</v>
      </c>
      <c r="B1507" s="30" t="s">
        <v>2807</v>
      </c>
      <c r="C1507" s="31">
        <v>190492.79999999999</v>
      </c>
      <c r="D1507" s="31">
        <v>0</v>
      </c>
      <c r="E1507" s="31">
        <v>201732</v>
      </c>
      <c r="F1507" s="31">
        <v>0</v>
      </c>
      <c r="G1507" s="29"/>
    </row>
    <row r="1508" spans="1:7" x14ac:dyDescent="0.25">
      <c r="A1508" s="30" t="s">
        <v>2808</v>
      </c>
      <c r="B1508" s="30" t="s">
        <v>2809</v>
      </c>
      <c r="C1508" s="31">
        <v>59529</v>
      </c>
      <c r="D1508" s="31">
        <v>0</v>
      </c>
      <c r="E1508" s="31">
        <v>63041</v>
      </c>
      <c r="F1508" s="31">
        <v>0</v>
      </c>
      <c r="G1508" s="29"/>
    </row>
    <row r="1509" spans="1:7" x14ac:dyDescent="0.25">
      <c r="A1509" s="30" t="s">
        <v>2810</v>
      </c>
      <c r="B1509" s="30" t="s">
        <v>2811</v>
      </c>
      <c r="C1509" s="31">
        <v>23811.599999999999</v>
      </c>
      <c r="D1509" s="31">
        <v>0</v>
      </c>
      <c r="E1509" s="31">
        <v>25217</v>
      </c>
      <c r="F1509" s="31">
        <v>0</v>
      </c>
      <c r="G1509" s="29"/>
    </row>
    <row r="1510" spans="1:7" x14ac:dyDescent="0.25">
      <c r="A1510" s="30" t="s">
        <v>2812</v>
      </c>
      <c r="B1510" s="30" t="s">
        <v>2813</v>
      </c>
      <c r="C1510" s="31">
        <v>23811.599999999999</v>
      </c>
      <c r="D1510" s="31">
        <v>0</v>
      </c>
      <c r="E1510" s="31">
        <v>25217</v>
      </c>
      <c r="F1510" s="31">
        <v>0</v>
      </c>
      <c r="G1510" s="29"/>
    </row>
    <row r="1511" spans="1:7" x14ac:dyDescent="0.25">
      <c r="A1511" s="23" t="s">
        <v>2725</v>
      </c>
      <c r="B1511" s="23" t="s">
        <v>2</v>
      </c>
      <c r="C1511" s="32">
        <v>297645</v>
      </c>
      <c r="D1511" s="32">
        <v>0</v>
      </c>
      <c r="E1511" s="32">
        <f>SUM(E1507:E1510)</f>
        <v>315207</v>
      </c>
      <c r="F1511" s="32">
        <f>SUM(F1507:F1510)</f>
        <v>0</v>
      </c>
      <c r="G1511" s="29"/>
    </row>
    <row r="1512" spans="1:7" x14ac:dyDescent="0.25">
      <c r="A1512" s="23" t="s">
        <v>2</v>
      </c>
      <c r="B1512" s="23" t="s">
        <v>2</v>
      </c>
      <c r="C1512" s="23" t="s">
        <v>2</v>
      </c>
      <c r="D1512" s="23" t="s">
        <v>2</v>
      </c>
      <c r="E1512" s="23" t="s">
        <v>2</v>
      </c>
      <c r="F1512" s="23" t="s">
        <v>2</v>
      </c>
      <c r="G1512" s="29"/>
    </row>
    <row r="1513" spans="1:7" x14ac:dyDescent="0.25">
      <c r="A1513" s="23" t="s">
        <v>2047</v>
      </c>
      <c r="B1513" s="23" t="s">
        <v>2</v>
      </c>
      <c r="C1513" s="32">
        <v>565008.56999999995</v>
      </c>
      <c r="D1513" s="32">
        <v>0.6</v>
      </c>
      <c r="E1513" s="32">
        <f>E1511+SUM(E1503:E1504)+E1500+E1498+E1493</f>
        <v>315207</v>
      </c>
      <c r="F1513" s="32">
        <f>F1511+SUM(F1503:F1504)+F1500+F1498+F1493</f>
        <v>0</v>
      </c>
      <c r="G1513" s="29"/>
    </row>
    <row r="1514" spans="1:7" ht="15" customHeight="1" x14ac:dyDescent="0.25">
      <c r="A1514" s="1" t="s">
        <v>740</v>
      </c>
      <c r="B1514" s="1" t="s">
        <v>2</v>
      </c>
    </row>
    <row r="1515" spans="1:7" ht="15" customHeight="1" x14ac:dyDescent="0.25">
      <c r="A1515" s="1" t="s">
        <v>556</v>
      </c>
      <c r="B1515" s="1" t="s">
        <v>2</v>
      </c>
    </row>
    <row r="1516" spans="1:7" ht="26.25" customHeight="1" x14ac:dyDescent="0.25">
      <c r="A1516" s="1" t="s">
        <v>1161</v>
      </c>
      <c r="B1516" s="1" t="s">
        <v>2</v>
      </c>
    </row>
    <row r="1517" spans="1:7" ht="15" customHeight="1" x14ac:dyDescent="0.25">
      <c r="A1517" s="2" t="s">
        <v>1178</v>
      </c>
      <c r="B1517" s="2" t="s">
        <v>1163</v>
      </c>
      <c r="C1517" s="3">
        <v>276000</v>
      </c>
      <c r="D1517" s="3">
        <v>0</v>
      </c>
      <c r="E1517" s="3">
        <v>276000</v>
      </c>
      <c r="F1517" s="5">
        <v>0</v>
      </c>
    </row>
    <row r="1518" spans="1:7" ht="26.25" customHeight="1" x14ac:dyDescent="0.25">
      <c r="A1518" s="1" t="s">
        <v>1164</v>
      </c>
      <c r="B1518" s="1" t="s">
        <v>2</v>
      </c>
      <c r="C1518" s="4">
        <v>276000</v>
      </c>
      <c r="D1518" s="4">
        <v>0</v>
      </c>
      <c r="E1518" s="6">
        <f>SUM(E1517)</f>
        <v>276000</v>
      </c>
      <c r="F1518" s="6">
        <f>SUM(F1517)</f>
        <v>0</v>
      </c>
    </row>
    <row r="1519" spans="1:7" x14ac:dyDescent="0.25">
      <c r="A1519" s="1" t="s">
        <v>2</v>
      </c>
      <c r="B1519" s="1" t="s">
        <v>2</v>
      </c>
      <c r="C1519" s="1" t="s">
        <v>2</v>
      </c>
      <c r="D1519" s="1" t="s">
        <v>2</v>
      </c>
      <c r="E1519" s="1" t="s">
        <v>2</v>
      </c>
      <c r="F1519" s="1" t="s">
        <v>2</v>
      </c>
    </row>
    <row r="1520" spans="1:7" ht="15" customHeight="1" x14ac:dyDescent="0.25">
      <c r="A1520" s="1" t="s">
        <v>1153</v>
      </c>
      <c r="B1520" s="1" t="s">
        <v>2</v>
      </c>
    </row>
    <row r="1521" spans="1:7" ht="15" customHeight="1" x14ac:dyDescent="0.25">
      <c r="A1521" s="2" t="s">
        <v>1179</v>
      </c>
      <c r="B1521" s="2" t="s">
        <v>1166</v>
      </c>
      <c r="C1521" s="3">
        <v>43290</v>
      </c>
      <c r="D1521" s="3">
        <v>0</v>
      </c>
      <c r="E1521" s="3">
        <v>39206</v>
      </c>
      <c r="F1521" s="5">
        <v>0</v>
      </c>
    </row>
    <row r="1522" spans="1:7" ht="15" customHeight="1" x14ac:dyDescent="0.25">
      <c r="A1522" s="2" t="s">
        <v>1180</v>
      </c>
      <c r="B1522" s="2" t="s">
        <v>1181</v>
      </c>
      <c r="C1522" s="3">
        <v>470</v>
      </c>
      <c r="D1522" s="3">
        <v>0</v>
      </c>
      <c r="E1522" s="3">
        <v>700</v>
      </c>
      <c r="F1522" s="5">
        <v>0</v>
      </c>
    </row>
    <row r="1523" spans="1:7" ht="15" customHeight="1" x14ac:dyDescent="0.25">
      <c r="A1523" s="1" t="s">
        <v>1158</v>
      </c>
      <c r="B1523" s="1" t="s">
        <v>2</v>
      </c>
      <c r="C1523" s="4">
        <v>43760</v>
      </c>
      <c r="D1523" s="4">
        <v>0</v>
      </c>
      <c r="E1523" s="6">
        <f>SUM(E1521:E1522)</f>
        <v>39906</v>
      </c>
      <c r="F1523" s="6">
        <f>SUM(F1521:F1522)</f>
        <v>0</v>
      </c>
    </row>
    <row r="1524" spans="1:7" x14ac:dyDescent="0.25">
      <c r="A1524" s="1" t="s">
        <v>2</v>
      </c>
      <c r="B1524" s="1" t="s">
        <v>2</v>
      </c>
      <c r="C1524" s="1" t="s">
        <v>2</v>
      </c>
      <c r="D1524" s="1" t="s">
        <v>2</v>
      </c>
      <c r="E1524" s="1" t="s">
        <v>2</v>
      </c>
      <c r="F1524" s="1" t="s">
        <v>2</v>
      </c>
    </row>
    <row r="1525" spans="1:7" ht="15" customHeight="1" x14ac:dyDescent="0.25">
      <c r="A1525" s="2" t="s">
        <v>1182</v>
      </c>
      <c r="B1525" s="2" t="s">
        <v>1183</v>
      </c>
      <c r="C1525" s="3">
        <v>0</v>
      </c>
      <c r="D1525" s="3">
        <v>0</v>
      </c>
      <c r="E1525" s="3">
        <v>0</v>
      </c>
      <c r="F1525" s="5">
        <v>0</v>
      </c>
    </row>
    <row r="1526" spans="1:7" x14ac:dyDescent="0.25">
      <c r="A1526" s="2" t="s">
        <v>1184</v>
      </c>
      <c r="B1526" s="2" t="s">
        <v>1185</v>
      </c>
      <c r="C1526" s="3">
        <v>0</v>
      </c>
      <c r="D1526" s="3">
        <v>0</v>
      </c>
      <c r="E1526" s="3">
        <v>0</v>
      </c>
      <c r="F1526" s="5">
        <v>0</v>
      </c>
    </row>
    <row r="1527" spans="1:7" x14ac:dyDescent="0.25">
      <c r="A1527" s="2"/>
      <c r="B1527" s="2"/>
      <c r="C1527" s="3"/>
      <c r="D1527" s="3"/>
      <c r="E1527" s="3"/>
      <c r="F1527" s="5"/>
    </row>
    <row r="1528" spans="1:7" ht="29.25" customHeight="1" x14ac:dyDescent="0.25">
      <c r="A1528" s="1" t="s">
        <v>2814</v>
      </c>
      <c r="B1528" s="1" t="s">
        <v>2</v>
      </c>
      <c r="C1528" s="4">
        <v>319760</v>
      </c>
      <c r="D1528" s="4">
        <v>0</v>
      </c>
      <c r="E1528" s="6">
        <f>SUM(E1525:E1526)+E1523+E1518</f>
        <v>315906</v>
      </c>
      <c r="F1528" s="6">
        <f>SUM(F1525:F1526)+F1523+F1518</f>
        <v>0</v>
      </c>
    </row>
    <row r="1529" spans="1:7" ht="15" customHeight="1" x14ac:dyDescent="0.25">
      <c r="A1529" s="25" t="s">
        <v>2816</v>
      </c>
      <c r="B1529" s="25" t="s">
        <v>2</v>
      </c>
      <c r="C1529" s="33">
        <f>C1486+C1513-C1528</f>
        <v>14573.029999999912</v>
      </c>
      <c r="D1529" s="33">
        <f t="shared" ref="D1529:F1529" si="20">D1486+D1513-D1528</f>
        <v>14573.630000000001</v>
      </c>
      <c r="E1529" s="33">
        <f t="shared" si="20"/>
        <v>13874.030000000028</v>
      </c>
      <c r="F1529" s="33">
        <f t="shared" si="20"/>
        <v>13874.030000000028</v>
      </c>
      <c r="G1529" s="25"/>
    </row>
    <row r="1530" spans="1:7" x14ac:dyDescent="0.25">
      <c r="A1530" s="1" t="s">
        <v>2</v>
      </c>
      <c r="B1530" s="1" t="s">
        <v>2</v>
      </c>
      <c r="C1530" s="1" t="s">
        <v>2</v>
      </c>
      <c r="D1530" s="1" t="s">
        <v>2</v>
      </c>
      <c r="E1530" s="1" t="s">
        <v>2</v>
      </c>
      <c r="F1530" s="1" t="s">
        <v>2</v>
      </c>
    </row>
    <row r="1531" spans="1:7" ht="15" customHeight="1" x14ac:dyDescent="0.25">
      <c r="A1531" s="27" t="s">
        <v>2817</v>
      </c>
      <c r="B1531" s="27" t="s">
        <v>2</v>
      </c>
      <c r="C1531" s="28">
        <v>1996.44</v>
      </c>
      <c r="D1531" s="28">
        <v>1998.54</v>
      </c>
      <c r="E1531" s="28">
        <v>1998.54</v>
      </c>
      <c r="F1531" s="28">
        <f>E1557</f>
        <v>1648.5400000000081</v>
      </c>
      <c r="G1531" s="27"/>
    </row>
    <row r="1532" spans="1:7" x14ac:dyDescent="0.25">
      <c r="A1532" s="23" t="s">
        <v>1186</v>
      </c>
      <c r="B1532" s="23" t="s">
        <v>2</v>
      </c>
      <c r="C1532" s="29"/>
      <c r="D1532" s="29"/>
      <c r="E1532" s="29"/>
      <c r="F1532" s="29"/>
      <c r="G1532" s="29"/>
    </row>
    <row r="1533" spans="1:7" x14ac:dyDescent="0.25">
      <c r="A1533" s="23" t="s">
        <v>2026</v>
      </c>
      <c r="B1533" s="23" t="s">
        <v>2</v>
      </c>
      <c r="C1533" s="29"/>
      <c r="D1533" s="29"/>
      <c r="E1533" s="29"/>
      <c r="F1533" s="29"/>
      <c r="G1533" s="29"/>
    </row>
    <row r="1534" spans="1:7" x14ac:dyDescent="0.25">
      <c r="A1534" s="23" t="s">
        <v>2175</v>
      </c>
      <c r="B1534" s="23" t="s">
        <v>2</v>
      </c>
      <c r="C1534" s="29"/>
      <c r="D1534" s="29"/>
      <c r="E1534" s="29"/>
      <c r="F1534" s="29"/>
      <c r="G1534" s="29"/>
    </row>
    <row r="1535" spans="1:7" x14ac:dyDescent="0.25">
      <c r="A1535" s="23" t="s">
        <v>2176</v>
      </c>
      <c r="B1535" s="23" t="s">
        <v>2</v>
      </c>
      <c r="C1535" s="29"/>
      <c r="D1535" s="29"/>
      <c r="E1535" s="29"/>
      <c r="F1535" s="29"/>
      <c r="G1535" s="29"/>
    </row>
    <row r="1536" spans="1:7" x14ac:dyDescent="0.25">
      <c r="A1536" s="30" t="s">
        <v>2818</v>
      </c>
      <c r="B1536" s="30" t="s">
        <v>2409</v>
      </c>
      <c r="C1536" s="31">
        <v>2.1</v>
      </c>
      <c r="D1536" s="31">
        <v>1.47</v>
      </c>
      <c r="E1536" s="31">
        <v>0</v>
      </c>
      <c r="F1536" s="31">
        <v>0</v>
      </c>
      <c r="G1536" s="29"/>
    </row>
    <row r="1537" spans="1:7" x14ac:dyDescent="0.25">
      <c r="A1537" s="23" t="s">
        <v>2179</v>
      </c>
      <c r="B1537" s="23" t="s">
        <v>2</v>
      </c>
      <c r="C1537" s="32">
        <v>2.1</v>
      </c>
      <c r="D1537" s="32">
        <v>1.47</v>
      </c>
      <c r="E1537" s="32">
        <f>SUM(E1536)</f>
        <v>0</v>
      </c>
      <c r="F1537" s="32">
        <f>SUM(F1536)</f>
        <v>0</v>
      </c>
      <c r="G1537" s="29"/>
    </row>
    <row r="1538" spans="1:7" x14ac:dyDescent="0.25">
      <c r="A1538" s="23" t="s">
        <v>2</v>
      </c>
      <c r="B1538" s="23" t="s">
        <v>2</v>
      </c>
      <c r="C1538" s="23" t="s">
        <v>2</v>
      </c>
      <c r="D1538" s="23" t="s">
        <v>2</v>
      </c>
      <c r="E1538" s="23" t="s">
        <v>2</v>
      </c>
      <c r="F1538" s="23" t="s">
        <v>2</v>
      </c>
      <c r="G1538" s="29"/>
    </row>
    <row r="1539" spans="1:7" x14ac:dyDescent="0.25">
      <c r="A1539" s="23" t="s">
        <v>2724</v>
      </c>
      <c r="B1539" s="23" t="s">
        <v>2</v>
      </c>
      <c r="C1539" s="29"/>
      <c r="D1539" s="29"/>
      <c r="E1539" s="29"/>
      <c r="F1539" s="29"/>
      <c r="G1539" s="29"/>
    </row>
    <row r="1540" spans="1:7" x14ac:dyDescent="0.25">
      <c r="A1540" s="30" t="s">
        <v>2819</v>
      </c>
      <c r="B1540" s="30" t="s">
        <v>2820</v>
      </c>
      <c r="C1540" s="31">
        <v>79400</v>
      </c>
      <c r="D1540" s="31">
        <v>0</v>
      </c>
      <c r="E1540" s="31">
        <v>81800</v>
      </c>
      <c r="F1540" s="31">
        <v>0</v>
      </c>
      <c r="G1540" s="29"/>
    </row>
    <row r="1541" spans="1:7" x14ac:dyDescent="0.25">
      <c r="A1541" s="30" t="s">
        <v>2821</v>
      </c>
      <c r="B1541" s="30" t="s">
        <v>2822</v>
      </c>
      <c r="C1541" s="31">
        <v>79400</v>
      </c>
      <c r="D1541" s="31">
        <v>0</v>
      </c>
      <c r="E1541" s="31">
        <v>81800</v>
      </c>
      <c r="F1541" s="31">
        <v>0</v>
      </c>
      <c r="G1541" s="29"/>
    </row>
    <row r="1542" spans="1:7" x14ac:dyDescent="0.25">
      <c r="A1542" s="23" t="s">
        <v>2725</v>
      </c>
      <c r="B1542" s="23" t="s">
        <v>2</v>
      </c>
      <c r="C1542" s="32">
        <v>158800</v>
      </c>
      <c r="D1542" s="32">
        <v>0</v>
      </c>
      <c r="E1542" s="32">
        <f>SUM(E1540:E1541)</f>
        <v>163600</v>
      </c>
      <c r="F1542" s="32">
        <f>SUM(F1540:F1541)</f>
        <v>0</v>
      </c>
      <c r="G1542" s="29"/>
    </row>
    <row r="1543" spans="1:7" x14ac:dyDescent="0.25">
      <c r="A1543" s="23" t="s">
        <v>2</v>
      </c>
      <c r="B1543" s="23" t="s">
        <v>2</v>
      </c>
      <c r="C1543" s="23" t="s">
        <v>2</v>
      </c>
      <c r="D1543" s="23" t="s">
        <v>2</v>
      </c>
      <c r="E1543" s="23" t="s">
        <v>2</v>
      </c>
      <c r="F1543" s="23" t="s">
        <v>2</v>
      </c>
      <c r="G1543" s="29"/>
    </row>
    <row r="1544" spans="1:7" x14ac:dyDescent="0.25">
      <c r="A1544" s="23" t="s">
        <v>2047</v>
      </c>
      <c r="B1544" s="23" t="s">
        <v>2</v>
      </c>
      <c r="C1544" s="32">
        <v>158802.1</v>
      </c>
      <c r="D1544" s="32">
        <v>1.47</v>
      </c>
      <c r="E1544" s="32">
        <f>E1537+E1542</f>
        <v>163600</v>
      </c>
      <c r="F1544" s="32">
        <f>F1537+F1542</f>
        <v>0</v>
      </c>
      <c r="G1544" s="29"/>
    </row>
    <row r="1545" spans="1:7" ht="15" customHeight="1" x14ac:dyDescent="0.25">
      <c r="A1545" s="1" t="s">
        <v>740</v>
      </c>
      <c r="B1545" s="1" t="s">
        <v>2</v>
      </c>
      <c r="C1545" s="40"/>
      <c r="E1545" s="40"/>
    </row>
    <row r="1546" spans="1:7" ht="15" customHeight="1" x14ac:dyDescent="0.25">
      <c r="A1546" s="1" t="s">
        <v>556</v>
      </c>
      <c r="B1546" s="1" t="s">
        <v>2</v>
      </c>
    </row>
    <row r="1547" spans="1:7" ht="27.75" customHeight="1" x14ac:dyDescent="0.25">
      <c r="A1547" s="1" t="s">
        <v>1161</v>
      </c>
      <c r="B1547" s="1" t="s">
        <v>2</v>
      </c>
    </row>
    <row r="1548" spans="1:7" ht="15" customHeight="1" x14ac:dyDescent="0.25">
      <c r="A1548" s="2" t="s">
        <v>1187</v>
      </c>
      <c r="B1548" s="2" t="s">
        <v>1163</v>
      </c>
      <c r="C1548" s="3">
        <v>130000</v>
      </c>
      <c r="D1548" s="3">
        <v>0</v>
      </c>
      <c r="E1548" s="3">
        <v>140000</v>
      </c>
      <c r="F1548" s="5">
        <v>0</v>
      </c>
    </row>
    <row r="1549" spans="1:7" ht="28.5" customHeight="1" x14ac:dyDescent="0.25">
      <c r="A1549" s="1" t="s">
        <v>1164</v>
      </c>
      <c r="B1549" s="1" t="s">
        <v>2</v>
      </c>
      <c r="C1549" s="4">
        <v>130000</v>
      </c>
      <c r="D1549" s="4">
        <v>0</v>
      </c>
      <c r="E1549" s="6">
        <f>SUM(E1548)</f>
        <v>140000</v>
      </c>
      <c r="F1549" s="6">
        <f>SUM(F1548)</f>
        <v>0</v>
      </c>
    </row>
    <row r="1550" spans="1:7" x14ac:dyDescent="0.25">
      <c r="A1550" s="1" t="s">
        <v>2</v>
      </c>
      <c r="B1550" s="1" t="s">
        <v>2</v>
      </c>
      <c r="C1550" s="1" t="s">
        <v>2</v>
      </c>
      <c r="D1550" s="1" t="s">
        <v>2</v>
      </c>
      <c r="E1550" s="1" t="s">
        <v>2</v>
      </c>
      <c r="F1550" s="1" t="s">
        <v>2</v>
      </c>
    </row>
    <row r="1551" spans="1:7" ht="15" customHeight="1" x14ac:dyDescent="0.25">
      <c r="A1551" s="1" t="s">
        <v>1153</v>
      </c>
      <c r="B1551" s="1" t="s">
        <v>2</v>
      </c>
    </row>
    <row r="1552" spans="1:7" ht="15" customHeight="1" x14ac:dyDescent="0.25">
      <c r="A1552" s="2" t="s">
        <v>1188</v>
      </c>
      <c r="B1552" s="2" t="s">
        <v>1166</v>
      </c>
      <c r="C1552" s="3">
        <v>28800</v>
      </c>
      <c r="D1552" s="3">
        <v>0</v>
      </c>
      <c r="E1552" s="3">
        <v>23600</v>
      </c>
      <c r="F1552" s="5">
        <v>0</v>
      </c>
    </row>
    <row r="1553" spans="1:7" ht="15" customHeight="1" x14ac:dyDescent="0.25">
      <c r="A1553" s="2" t="s">
        <v>1189</v>
      </c>
      <c r="B1553" s="2" t="s">
        <v>1181</v>
      </c>
      <c r="C1553" s="3">
        <v>0</v>
      </c>
      <c r="D1553" s="3">
        <v>0</v>
      </c>
      <c r="E1553" s="3">
        <v>350</v>
      </c>
      <c r="F1553" s="5">
        <v>0</v>
      </c>
    </row>
    <row r="1554" spans="1:7" ht="15" customHeight="1" x14ac:dyDescent="0.25">
      <c r="A1554" s="1" t="s">
        <v>1158</v>
      </c>
      <c r="B1554" s="1" t="s">
        <v>2</v>
      </c>
      <c r="C1554" s="4">
        <v>28800</v>
      </c>
      <c r="D1554" s="4">
        <v>0</v>
      </c>
      <c r="E1554" s="6">
        <f>SUM(E1552:E1553)</f>
        <v>23950</v>
      </c>
      <c r="F1554" s="6">
        <f>SUM(F1552:F1553)</f>
        <v>0</v>
      </c>
    </row>
    <row r="1555" spans="1:7" x14ac:dyDescent="0.25">
      <c r="A1555" s="1" t="s">
        <v>2</v>
      </c>
      <c r="B1555" s="1" t="s">
        <v>2</v>
      </c>
      <c r="C1555" s="1" t="s">
        <v>2</v>
      </c>
      <c r="D1555" s="1" t="s">
        <v>2</v>
      </c>
      <c r="E1555" s="1" t="s">
        <v>2</v>
      </c>
      <c r="F1555" s="1" t="s">
        <v>2</v>
      </c>
    </row>
    <row r="1556" spans="1:7" ht="15" customHeight="1" x14ac:dyDescent="0.25">
      <c r="A1556" s="1" t="s">
        <v>1190</v>
      </c>
      <c r="B1556" s="1" t="s">
        <v>2</v>
      </c>
      <c r="C1556" s="4">
        <v>158800</v>
      </c>
      <c r="D1556" s="4">
        <v>0</v>
      </c>
      <c r="E1556" s="6">
        <f>E1554+E1549</f>
        <v>163950</v>
      </c>
      <c r="F1556" s="6">
        <f>F1554+F1549</f>
        <v>0</v>
      </c>
    </row>
    <row r="1557" spans="1:7" ht="15" customHeight="1" x14ac:dyDescent="0.25">
      <c r="A1557" s="25" t="s">
        <v>2823</v>
      </c>
      <c r="B1557" s="25"/>
      <c r="C1557" s="33">
        <f>C1531+C1544-C1556</f>
        <v>1998.5400000000081</v>
      </c>
      <c r="D1557" s="33">
        <f t="shared" ref="D1557:F1557" si="21">D1531+D1544-D1556</f>
        <v>2000.01</v>
      </c>
      <c r="E1557" s="33">
        <f t="shared" si="21"/>
        <v>1648.5400000000081</v>
      </c>
      <c r="F1557" s="33">
        <f t="shared" si="21"/>
        <v>1648.5400000000081</v>
      </c>
      <c r="G1557" s="25"/>
    </row>
    <row r="1558" spans="1:7" x14ac:dyDescent="0.25">
      <c r="A1558" s="1" t="s">
        <v>2</v>
      </c>
      <c r="B1558" s="1" t="s">
        <v>2</v>
      </c>
      <c r="C1558" s="1" t="s">
        <v>2</v>
      </c>
      <c r="D1558" s="1" t="s">
        <v>2</v>
      </c>
      <c r="E1558" s="1" t="s">
        <v>2</v>
      </c>
      <c r="F1558" s="1" t="s">
        <v>2</v>
      </c>
    </row>
    <row r="1559" spans="1:7" ht="15" customHeight="1" x14ac:dyDescent="0.25">
      <c r="A1559" s="27" t="s">
        <v>2824</v>
      </c>
      <c r="B1559" s="27" t="s">
        <v>2</v>
      </c>
      <c r="C1559" s="28">
        <v>296.12</v>
      </c>
      <c r="D1559" s="28">
        <v>709.14</v>
      </c>
      <c r="E1559" s="28">
        <v>709.14</v>
      </c>
      <c r="F1559" s="28">
        <f>E1571</f>
        <v>709.14000000001397</v>
      </c>
      <c r="G1559" s="27"/>
    </row>
    <row r="1560" spans="1:7" x14ac:dyDescent="0.25">
      <c r="A1560" s="23" t="s">
        <v>1191</v>
      </c>
      <c r="B1560" s="23" t="s">
        <v>2</v>
      </c>
      <c r="C1560" s="29"/>
      <c r="D1560" s="29"/>
      <c r="E1560" s="29"/>
      <c r="F1560" s="29"/>
      <c r="G1560" s="29"/>
    </row>
    <row r="1561" spans="1:7" x14ac:dyDescent="0.25">
      <c r="A1561" s="39" t="s">
        <v>2026</v>
      </c>
      <c r="B1561" s="23"/>
      <c r="C1561" s="29"/>
      <c r="D1561" s="29"/>
      <c r="E1561" s="29"/>
      <c r="F1561" s="29"/>
      <c r="G1561" s="29"/>
    </row>
    <row r="1562" spans="1:7" x14ac:dyDescent="0.25">
      <c r="A1562" s="30" t="s">
        <v>2825</v>
      </c>
      <c r="B1562" s="30" t="s">
        <v>2826</v>
      </c>
      <c r="C1562" s="31">
        <v>64321.89</v>
      </c>
      <c r="D1562" s="31">
        <v>34376.629999999997</v>
      </c>
      <c r="E1562" s="31">
        <v>63910</v>
      </c>
      <c r="F1562" s="31">
        <v>0</v>
      </c>
      <c r="G1562" s="29"/>
    </row>
    <row r="1563" spans="1:7" x14ac:dyDescent="0.25">
      <c r="A1563" s="30" t="s">
        <v>2827</v>
      </c>
      <c r="B1563" s="30" t="s">
        <v>2409</v>
      </c>
      <c r="C1563" s="31">
        <v>0.13</v>
      </c>
      <c r="D1563" s="31">
        <v>0.09</v>
      </c>
      <c r="E1563" s="31">
        <v>0</v>
      </c>
      <c r="F1563" s="31">
        <v>0</v>
      </c>
      <c r="G1563" s="29"/>
    </row>
    <row r="1564" spans="1:7" x14ac:dyDescent="0.25">
      <c r="A1564" s="30" t="s">
        <v>2828</v>
      </c>
      <c r="B1564" s="30" t="s">
        <v>2829</v>
      </c>
      <c r="C1564" s="31">
        <v>57369</v>
      </c>
      <c r="D1564" s="31">
        <v>0</v>
      </c>
      <c r="E1564" s="31">
        <v>56195</v>
      </c>
      <c r="F1564" s="31">
        <v>0</v>
      </c>
      <c r="G1564" s="29"/>
    </row>
    <row r="1565" spans="1:7" x14ac:dyDescent="0.25">
      <c r="A1565" s="30" t="s">
        <v>2830</v>
      </c>
      <c r="B1565" s="30" t="s">
        <v>2809</v>
      </c>
      <c r="C1565" s="31">
        <v>64794</v>
      </c>
      <c r="D1565" s="31">
        <v>0</v>
      </c>
      <c r="E1565" s="31">
        <v>65968</v>
      </c>
      <c r="F1565" s="31">
        <v>0</v>
      </c>
      <c r="G1565" s="29"/>
    </row>
    <row r="1566" spans="1:7" x14ac:dyDescent="0.25">
      <c r="A1566" s="23" t="s">
        <v>1194</v>
      </c>
      <c r="B1566" s="23" t="s">
        <v>2</v>
      </c>
      <c r="C1566" s="32">
        <v>186485.02</v>
      </c>
      <c r="D1566" s="32">
        <v>34376.720000000001</v>
      </c>
      <c r="E1566" s="32">
        <f>SUM(E1562:E1565)</f>
        <v>186073</v>
      </c>
      <c r="F1566" s="32">
        <f>SUM(F1562:F1565)</f>
        <v>0</v>
      </c>
      <c r="G1566" s="29"/>
    </row>
    <row r="1567" spans="1:7" ht="15" customHeight="1" x14ac:dyDescent="0.25">
      <c r="A1567" s="1" t="s">
        <v>740</v>
      </c>
      <c r="B1567" s="1" t="s">
        <v>2</v>
      </c>
      <c r="C1567" s="40"/>
      <c r="D1567" s="40"/>
    </row>
    <row r="1568" spans="1:7" ht="15" customHeight="1" x14ac:dyDescent="0.25">
      <c r="A1568" s="2" t="s">
        <v>1192</v>
      </c>
      <c r="B1568" s="2" t="s">
        <v>1163</v>
      </c>
      <c r="C1568" s="3">
        <v>160113.87</v>
      </c>
      <c r="D1568" s="3">
        <v>83404.5</v>
      </c>
      <c r="E1568" s="3">
        <v>169124</v>
      </c>
      <c r="F1568" s="5">
        <v>0</v>
      </c>
    </row>
    <row r="1569" spans="1:7" ht="15" customHeight="1" x14ac:dyDescent="0.25">
      <c r="A1569" s="2" t="s">
        <v>1193</v>
      </c>
      <c r="B1569" s="2" t="s">
        <v>1166</v>
      </c>
      <c r="C1569" s="3">
        <v>25958.13</v>
      </c>
      <c r="D1569" s="3">
        <v>9631.5</v>
      </c>
      <c r="E1569" s="3">
        <v>16949</v>
      </c>
      <c r="F1569" s="5">
        <v>0</v>
      </c>
    </row>
    <row r="1570" spans="1:7" ht="15" customHeight="1" x14ac:dyDescent="0.25">
      <c r="A1570" s="1" t="s">
        <v>1194</v>
      </c>
      <c r="B1570" s="1" t="s">
        <v>2</v>
      </c>
      <c r="C1570" s="4">
        <v>186072</v>
      </c>
      <c r="D1570" s="4">
        <v>93036</v>
      </c>
      <c r="E1570" s="6">
        <f>SUM(E1568:E1569)</f>
        <v>186073</v>
      </c>
      <c r="F1570" s="6">
        <f>SUM(F1568:F1569)</f>
        <v>0</v>
      </c>
    </row>
    <row r="1571" spans="1:7" ht="15" customHeight="1" x14ac:dyDescent="0.25">
      <c r="A1571" s="25" t="s">
        <v>2831</v>
      </c>
      <c r="B1571" s="25"/>
      <c r="C1571" s="33">
        <f>C1559+C1566-C1570</f>
        <v>709.13999999998487</v>
      </c>
      <c r="D1571" s="33">
        <f t="shared" ref="D1571:F1571" si="22">D1559+D1566-D1570</f>
        <v>-57950.14</v>
      </c>
      <c r="E1571" s="33">
        <f t="shared" si="22"/>
        <v>709.14000000001397</v>
      </c>
      <c r="F1571" s="33">
        <f t="shared" si="22"/>
        <v>709.14000000001397</v>
      </c>
      <c r="G1571" s="25"/>
    </row>
    <row r="1572" spans="1:7" x14ac:dyDescent="0.25">
      <c r="A1572" s="1" t="s">
        <v>2</v>
      </c>
      <c r="B1572" s="1" t="s">
        <v>2</v>
      </c>
      <c r="C1572" s="1" t="s">
        <v>2</v>
      </c>
      <c r="D1572" s="1" t="s">
        <v>2</v>
      </c>
      <c r="E1572" s="1" t="s">
        <v>2</v>
      </c>
      <c r="F1572" s="1" t="s">
        <v>2</v>
      </c>
    </row>
    <row r="1573" spans="1:7" ht="15" customHeight="1" x14ac:dyDescent="0.25">
      <c r="A1573" s="27" t="s">
        <v>2832</v>
      </c>
      <c r="B1573" s="27"/>
      <c r="C1573" s="28">
        <v>897191.34</v>
      </c>
      <c r="D1573" s="28">
        <v>863745.1</v>
      </c>
      <c r="E1573" s="28">
        <v>863745.1</v>
      </c>
      <c r="F1573" s="28">
        <f>E1589</f>
        <v>742936.10000000009</v>
      </c>
      <c r="G1573" s="27"/>
    </row>
    <row r="1574" spans="1:7" x14ac:dyDescent="0.25">
      <c r="A1574" s="23" t="s">
        <v>1195</v>
      </c>
      <c r="B1574" s="23" t="s">
        <v>2</v>
      </c>
      <c r="C1574" s="29"/>
      <c r="D1574" s="29"/>
      <c r="E1574" s="29"/>
      <c r="F1574" s="29"/>
      <c r="G1574" s="29"/>
    </row>
    <row r="1575" spans="1:7" x14ac:dyDescent="0.25">
      <c r="A1575" s="39" t="s">
        <v>2026</v>
      </c>
      <c r="B1575" s="23"/>
      <c r="C1575" s="29"/>
      <c r="D1575" s="29"/>
      <c r="E1575" s="29"/>
      <c r="F1575" s="29"/>
      <c r="G1575" s="29"/>
    </row>
    <row r="1576" spans="1:7" x14ac:dyDescent="0.25">
      <c r="A1576" s="30" t="s">
        <v>2833</v>
      </c>
      <c r="B1576" s="30" t="s">
        <v>2834</v>
      </c>
      <c r="C1576" s="31">
        <v>842615.03</v>
      </c>
      <c r="D1576" s="31">
        <v>260308.63</v>
      </c>
      <c r="E1576" s="31">
        <v>300000</v>
      </c>
      <c r="F1576" s="31">
        <v>0</v>
      </c>
      <c r="G1576" s="29"/>
    </row>
    <row r="1577" spans="1:7" x14ac:dyDescent="0.25">
      <c r="A1577" s="30" t="s">
        <v>2835</v>
      </c>
      <c r="B1577" s="30" t="s">
        <v>2409</v>
      </c>
      <c r="C1577" s="31">
        <v>492.85</v>
      </c>
      <c r="D1577" s="31">
        <v>375.29</v>
      </c>
      <c r="E1577" s="31">
        <v>0</v>
      </c>
      <c r="F1577" s="31">
        <v>0</v>
      </c>
      <c r="G1577" s="29"/>
    </row>
    <row r="1578" spans="1:7" x14ac:dyDescent="0.25">
      <c r="A1578" s="30" t="s">
        <v>2836</v>
      </c>
      <c r="B1578" s="30" t="s">
        <v>2703</v>
      </c>
      <c r="C1578" s="31">
        <v>0</v>
      </c>
      <c r="D1578" s="31">
        <v>0</v>
      </c>
      <c r="E1578" s="31">
        <v>0</v>
      </c>
      <c r="F1578" s="31">
        <v>0</v>
      </c>
      <c r="G1578" s="29"/>
    </row>
    <row r="1579" spans="1:7" x14ac:dyDescent="0.25">
      <c r="A1579" s="23" t="s">
        <v>1210</v>
      </c>
      <c r="B1579" s="23" t="s">
        <v>2</v>
      </c>
      <c r="C1579" s="32">
        <v>843107.88</v>
      </c>
      <c r="D1579" s="32">
        <v>260683.92</v>
      </c>
      <c r="E1579" s="32">
        <f>SUM(E1576:E1578)</f>
        <v>300000</v>
      </c>
      <c r="F1579" s="32">
        <f>SUM(F1576:F1578)</f>
        <v>0</v>
      </c>
      <c r="G1579" s="29"/>
    </row>
    <row r="1580" spans="1:7" ht="15" customHeight="1" x14ac:dyDescent="0.25">
      <c r="A1580" s="1" t="s">
        <v>740</v>
      </c>
      <c r="B1580" s="1" t="s">
        <v>2</v>
      </c>
      <c r="C1580" s="40"/>
      <c r="E1580" s="40"/>
    </row>
    <row r="1581" spans="1:7" ht="15" customHeight="1" x14ac:dyDescent="0.25">
      <c r="A1581" s="2" t="s">
        <v>1196</v>
      </c>
      <c r="B1581" s="2" t="s">
        <v>1197</v>
      </c>
      <c r="C1581" s="3">
        <v>59529</v>
      </c>
      <c r="D1581" s="3">
        <v>0</v>
      </c>
      <c r="E1581" s="3">
        <v>63041</v>
      </c>
      <c r="F1581" s="5">
        <v>0</v>
      </c>
    </row>
    <row r="1582" spans="1:7" ht="15" customHeight="1" x14ac:dyDescent="0.25">
      <c r="A1582" s="2" t="s">
        <v>1198</v>
      </c>
      <c r="B1582" s="2" t="s">
        <v>1199</v>
      </c>
      <c r="C1582" s="3">
        <v>79400</v>
      </c>
      <c r="D1582" s="3">
        <v>0</v>
      </c>
      <c r="E1582" s="3">
        <v>81800</v>
      </c>
      <c r="F1582" s="5">
        <v>0</v>
      </c>
    </row>
    <row r="1583" spans="1:7" x14ac:dyDescent="0.25">
      <c r="A1583" s="2" t="s">
        <v>1200</v>
      </c>
      <c r="B1583" s="2" t="s">
        <v>1201</v>
      </c>
      <c r="C1583" s="3">
        <v>64794</v>
      </c>
      <c r="D1583" s="3">
        <v>0</v>
      </c>
      <c r="E1583" s="3">
        <v>65968</v>
      </c>
      <c r="F1583" s="5">
        <v>0</v>
      </c>
    </row>
    <row r="1584" spans="1:7" ht="15" customHeight="1" x14ac:dyDescent="0.25">
      <c r="A1584" s="2" t="s">
        <v>1202</v>
      </c>
      <c r="B1584" s="2" t="s">
        <v>1203</v>
      </c>
      <c r="C1584" s="3">
        <v>665000</v>
      </c>
      <c r="D1584" s="3">
        <v>0</v>
      </c>
      <c r="E1584" s="3">
        <v>0</v>
      </c>
      <c r="F1584" s="5">
        <v>0</v>
      </c>
    </row>
    <row r="1585" spans="1:7" ht="15" customHeight="1" x14ac:dyDescent="0.25">
      <c r="A1585" s="2" t="s">
        <v>1204</v>
      </c>
      <c r="B1585" s="2" t="s">
        <v>1205</v>
      </c>
      <c r="C1585" s="3">
        <v>0</v>
      </c>
      <c r="D1585" s="3">
        <v>0</v>
      </c>
      <c r="E1585" s="3">
        <v>0</v>
      </c>
      <c r="F1585" s="5">
        <v>0</v>
      </c>
    </row>
    <row r="1586" spans="1:7" ht="15" customHeight="1" x14ac:dyDescent="0.25">
      <c r="A1586" s="2" t="s">
        <v>1206</v>
      </c>
      <c r="B1586" s="2" t="s">
        <v>1207</v>
      </c>
      <c r="C1586" s="3">
        <v>0</v>
      </c>
      <c r="D1586" s="3">
        <v>0</v>
      </c>
      <c r="E1586" s="3">
        <v>0</v>
      </c>
      <c r="F1586" s="5">
        <v>0</v>
      </c>
    </row>
    <row r="1587" spans="1:7" ht="15" customHeight="1" x14ac:dyDescent="0.25">
      <c r="A1587" s="2" t="s">
        <v>1208</v>
      </c>
      <c r="B1587" s="2" t="s">
        <v>1209</v>
      </c>
      <c r="C1587" s="3">
        <v>7831.12</v>
      </c>
      <c r="D1587" s="3">
        <v>0</v>
      </c>
      <c r="E1587" s="3">
        <v>210000</v>
      </c>
      <c r="F1587" s="5">
        <v>0</v>
      </c>
    </row>
    <row r="1588" spans="1:7" ht="15" customHeight="1" x14ac:dyDescent="0.25">
      <c r="A1588" s="1" t="s">
        <v>1210</v>
      </c>
      <c r="B1588" s="1" t="s">
        <v>2</v>
      </c>
      <c r="C1588" s="4">
        <v>876554.12</v>
      </c>
      <c r="D1588" s="4">
        <v>0</v>
      </c>
      <c r="E1588" s="6">
        <f>SUM(E1581:E1587)</f>
        <v>420809</v>
      </c>
      <c r="F1588" s="6">
        <f>SUM(F1581:F1587)</f>
        <v>0</v>
      </c>
    </row>
    <row r="1589" spans="1:7" ht="15" customHeight="1" x14ac:dyDescent="0.25">
      <c r="A1589" s="25" t="s">
        <v>2837</v>
      </c>
      <c r="B1589" s="25"/>
      <c r="C1589" s="33">
        <f>C1573+C1579-C1588</f>
        <v>863745.1</v>
      </c>
      <c r="D1589" s="33">
        <f t="shared" ref="D1589:F1589" si="23">D1573+D1579-D1588</f>
        <v>1124429.02</v>
      </c>
      <c r="E1589" s="33">
        <f t="shared" si="23"/>
        <v>742936.10000000009</v>
      </c>
      <c r="F1589" s="33">
        <f t="shared" si="23"/>
        <v>742936.10000000009</v>
      </c>
      <c r="G1589" s="25"/>
    </row>
    <row r="1590" spans="1:7" x14ac:dyDescent="0.25">
      <c r="A1590" s="1" t="s">
        <v>2</v>
      </c>
      <c r="B1590" s="1" t="s">
        <v>2</v>
      </c>
      <c r="C1590" s="1" t="s">
        <v>2</v>
      </c>
      <c r="D1590" s="1" t="s">
        <v>2</v>
      </c>
      <c r="E1590" s="1" t="s">
        <v>2</v>
      </c>
      <c r="F1590" s="1" t="s">
        <v>2</v>
      </c>
    </row>
    <row r="1591" spans="1:7" ht="15" customHeight="1" x14ac:dyDescent="0.25">
      <c r="A1591" s="27" t="s">
        <v>2838</v>
      </c>
      <c r="B1591" s="27"/>
      <c r="C1591" s="28">
        <v>1420620.11</v>
      </c>
      <c r="D1591" s="28">
        <v>2201330.37</v>
      </c>
      <c r="E1591" s="28">
        <v>2201330.37</v>
      </c>
      <c r="F1591" s="28">
        <f>E1606</f>
        <v>1516330.37</v>
      </c>
      <c r="G1591" s="27"/>
    </row>
    <row r="1592" spans="1:7" x14ac:dyDescent="0.25">
      <c r="A1592" s="23" t="s">
        <v>1211</v>
      </c>
      <c r="B1592" s="23" t="s">
        <v>2</v>
      </c>
      <c r="C1592" s="29"/>
      <c r="D1592" s="29"/>
      <c r="E1592" s="29"/>
      <c r="F1592" s="29"/>
      <c r="G1592" s="29"/>
    </row>
    <row r="1593" spans="1:7" x14ac:dyDescent="0.25">
      <c r="A1593" s="39" t="s">
        <v>2026</v>
      </c>
      <c r="B1593" s="23"/>
      <c r="C1593" s="29"/>
      <c r="D1593" s="29"/>
      <c r="E1593" s="29"/>
      <c r="F1593" s="29"/>
      <c r="G1593" s="29"/>
    </row>
    <row r="1594" spans="1:7" x14ac:dyDescent="0.25">
      <c r="A1594" s="30" t="s">
        <v>2839</v>
      </c>
      <c r="B1594" s="30" t="s">
        <v>2840</v>
      </c>
      <c r="C1594" s="31">
        <v>842615.03</v>
      </c>
      <c r="D1594" s="31">
        <v>260308.62</v>
      </c>
      <c r="E1594" s="31">
        <v>300000</v>
      </c>
      <c r="F1594" s="31">
        <v>0</v>
      </c>
      <c r="G1594" s="29"/>
    </row>
    <row r="1595" spans="1:7" x14ac:dyDescent="0.25">
      <c r="A1595" s="30" t="s">
        <v>2841</v>
      </c>
      <c r="B1595" s="30" t="s">
        <v>2409</v>
      </c>
      <c r="C1595" s="31">
        <v>971.16</v>
      </c>
      <c r="D1595" s="31">
        <v>790.89</v>
      </c>
      <c r="E1595" s="31">
        <v>0</v>
      </c>
      <c r="F1595" s="31">
        <v>0</v>
      </c>
      <c r="G1595" s="29"/>
    </row>
    <row r="1596" spans="1:7" x14ac:dyDescent="0.25">
      <c r="A1596" s="30" t="s">
        <v>2842</v>
      </c>
      <c r="B1596" s="30" t="s">
        <v>2703</v>
      </c>
      <c r="C1596" s="31">
        <v>0</v>
      </c>
      <c r="D1596" s="31">
        <v>0</v>
      </c>
      <c r="E1596" s="31">
        <v>0</v>
      </c>
      <c r="F1596" s="31">
        <v>0</v>
      </c>
      <c r="G1596" s="29"/>
    </row>
    <row r="1597" spans="1:7" x14ac:dyDescent="0.25">
      <c r="A1597" s="30" t="s">
        <v>2843</v>
      </c>
      <c r="B1597" s="30" t="s">
        <v>2844</v>
      </c>
      <c r="C1597" s="31">
        <v>0</v>
      </c>
      <c r="D1597" s="31">
        <v>0</v>
      </c>
      <c r="E1597" s="31">
        <v>0</v>
      </c>
      <c r="F1597" s="31">
        <v>0</v>
      </c>
      <c r="G1597" s="29"/>
    </row>
    <row r="1598" spans="1:7" x14ac:dyDescent="0.25">
      <c r="A1598" s="23" t="s">
        <v>1220</v>
      </c>
      <c r="B1598" s="23" t="s">
        <v>2</v>
      </c>
      <c r="C1598" s="32">
        <v>843586.19</v>
      </c>
      <c r="D1598" s="32">
        <v>261099.51</v>
      </c>
      <c r="E1598" s="32">
        <f>SUM(E1594:E1597)</f>
        <v>300000</v>
      </c>
      <c r="F1598" s="32">
        <f>SUM(F1594:F1597)</f>
        <v>0</v>
      </c>
      <c r="G1598" s="29"/>
    </row>
    <row r="1599" spans="1:7" ht="15" customHeight="1" x14ac:dyDescent="0.25">
      <c r="A1599" s="1" t="s">
        <v>740</v>
      </c>
      <c r="B1599" s="1" t="s">
        <v>2</v>
      </c>
      <c r="C1599" s="40"/>
      <c r="D1599" s="40"/>
      <c r="E1599" s="40"/>
    </row>
    <row r="1600" spans="1:7" ht="15" customHeight="1" x14ac:dyDescent="0.25">
      <c r="A1600" s="2" t="s">
        <v>1212</v>
      </c>
      <c r="B1600" s="2" t="s">
        <v>1213</v>
      </c>
      <c r="C1600" s="3">
        <v>54774.81</v>
      </c>
      <c r="D1600" s="3">
        <v>776.88</v>
      </c>
      <c r="E1600" s="3">
        <v>150000</v>
      </c>
      <c r="F1600" s="5">
        <v>0</v>
      </c>
    </row>
    <row r="1601" spans="1:7" ht="15" customHeight="1" x14ac:dyDescent="0.25">
      <c r="A1601" s="2" t="s">
        <v>1214</v>
      </c>
      <c r="B1601" s="2" t="s">
        <v>1215</v>
      </c>
      <c r="C1601" s="3">
        <v>270</v>
      </c>
      <c r="D1601" s="3">
        <v>0</v>
      </c>
      <c r="E1601" s="3">
        <v>625000</v>
      </c>
      <c r="F1601" s="5">
        <v>0</v>
      </c>
    </row>
    <row r="1602" spans="1:7" ht="15" customHeight="1" x14ac:dyDescent="0.25">
      <c r="A1602" s="2" t="s">
        <v>1216</v>
      </c>
      <c r="B1602" s="2" t="s">
        <v>1207</v>
      </c>
      <c r="C1602" s="3">
        <v>0</v>
      </c>
      <c r="D1602" s="3">
        <v>0</v>
      </c>
      <c r="E1602" s="3">
        <v>0</v>
      </c>
      <c r="F1602" s="5">
        <v>0</v>
      </c>
    </row>
    <row r="1603" spans="1:7" x14ac:dyDescent="0.25">
      <c r="A1603" s="2" t="s">
        <v>1217</v>
      </c>
      <c r="B1603" s="2" t="s">
        <v>1218</v>
      </c>
      <c r="C1603" s="3">
        <v>0</v>
      </c>
      <c r="D1603" s="3">
        <v>0</v>
      </c>
      <c r="E1603" s="3">
        <v>0</v>
      </c>
      <c r="F1603" s="5">
        <v>0</v>
      </c>
    </row>
    <row r="1604" spans="1:7" ht="15" customHeight="1" x14ac:dyDescent="0.25">
      <c r="A1604" s="2" t="s">
        <v>1219</v>
      </c>
      <c r="B1604" s="2" t="s">
        <v>1209</v>
      </c>
      <c r="C1604" s="3">
        <v>7831.12</v>
      </c>
      <c r="D1604" s="3">
        <v>0</v>
      </c>
      <c r="E1604" s="3">
        <v>210000</v>
      </c>
      <c r="F1604" s="5">
        <v>0</v>
      </c>
    </row>
    <row r="1605" spans="1:7" ht="15" customHeight="1" x14ac:dyDescent="0.25">
      <c r="A1605" s="1" t="s">
        <v>1220</v>
      </c>
      <c r="B1605" s="1" t="s">
        <v>2</v>
      </c>
      <c r="C1605" s="4">
        <v>62875.93</v>
      </c>
      <c r="D1605" s="4">
        <v>776.88</v>
      </c>
      <c r="E1605" s="6">
        <f>SUM(E1600:E1604)</f>
        <v>985000</v>
      </c>
      <c r="F1605" s="6">
        <f>SUM(F1600:F1604)</f>
        <v>0</v>
      </c>
    </row>
    <row r="1606" spans="1:7" ht="15" customHeight="1" x14ac:dyDescent="0.25">
      <c r="A1606" s="25" t="s">
        <v>2845</v>
      </c>
      <c r="B1606" s="25" t="s">
        <v>2</v>
      </c>
      <c r="C1606" s="33">
        <f>C1591+C1598-C1605</f>
        <v>2201330.3699999996</v>
      </c>
      <c r="D1606" s="33">
        <f t="shared" ref="D1606:F1606" si="24">D1591+D1598-D1605</f>
        <v>2461653</v>
      </c>
      <c r="E1606" s="33">
        <f t="shared" si="24"/>
        <v>1516330.37</v>
      </c>
      <c r="F1606" s="33">
        <f t="shared" si="24"/>
        <v>1516330.37</v>
      </c>
      <c r="G1606" s="25"/>
    </row>
    <row r="1607" spans="1:7" x14ac:dyDescent="0.25">
      <c r="A1607" s="1" t="s">
        <v>2</v>
      </c>
      <c r="B1607" s="1" t="s">
        <v>2</v>
      </c>
      <c r="C1607" s="1" t="s">
        <v>2</v>
      </c>
      <c r="D1607" s="1" t="s">
        <v>2</v>
      </c>
      <c r="E1607" s="1" t="s">
        <v>2</v>
      </c>
      <c r="F1607" s="1" t="s">
        <v>2</v>
      </c>
    </row>
    <row r="1608" spans="1:7" ht="15" customHeight="1" x14ac:dyDescent="0.25">
      <c r="A1608" s="27" t="s">
        <v>2847</v>
      </c>
      <c r="B1608" s="27" t="s">
        <v>2</v>
      </c>
      <c r="C1608" s="28">
        <v>0</v>
      </c>
      <c r="D1608" s="28">
        <v>0</v>
      </c>
      <c r="E1608" s="28">
        <v>0</v>
      </c>
      <c r="F1608" s="28">
        <f>E1627</f>
        <v>0</v>
      </c>
      <c r="G1608" s="27"/>
    </row>
    <row r="1609" spans="1:7" x14ac:dyDescent="0.25">
      <c r="A1609" s="23" t="s">
        <v>1221</v>
      </c>
      <c r="B1609" s="23" t="s">
        <v>2</v>
      </c>
      <c r="C1609" s="29"/>
      <c r="D1609" s="29"/>
      <c r="E1609" s="29"/>
      <c r="F1609" s="29"/>
      <c r="G1609" s="29"/>
    </row>
    <row r="1610" spans="1:7" x14ac:dyDescent="0.25">
      <c r="A1610" s="23" t="s">
        <v>1095</v>
      </c>
      <c r="B1610" s="23" t="s">
        <v>2</v>
      </c>
      <c r="C1610" s="29"/>
      <c r="D1610" s="29"/>
      <c r="E1610" s="29"/>
      <c r="F1610" s="29"/>
      <c r="G1610" s="29"/>
    </row>
    <row r="1611" spans="1:7" x14ac:dyDescent="0.25">
      <c r="A1611" s="30" t="s">
        <v>2848</v>
      </c>
      <c r="B1611" s="30" t="s">
        <v>2849</v>
      </c>
      <c r="C1611" s="31">
        <v>0</v>
      </c>
      <c r="D1611" s="31">
        <v>0</v>
      </c>
      <c r="E1611" s="31">
        <v>480000</v>
      </c>
      <c r="F1611" s="31">
        <v>0</v>
      </c>
      <c r="G1611" s="29"/>
    </row>
    <row r="1612" spans="1:7" x14ac:dyDescent="0.25">
      <c r="A1612" s="30" t="s">
        <v>2850</v>
      </c>
      <c r="B1612" s="30" t="s">
        <v>2851</v>
      </c>
      <c r="C1612" s="31">
        <v>0</v>
      </c>
      <c r="D1612" s="31">
        <v>5000</v>
      </c>
      <c r="E1612" s="31">
        <v>0</v>
      </c>
      <c r="F1612" s="31">
        <v>0</v>
      </c>
      <c r="G1612" s="29"/>
    </row>
    <row r="1613" spans="1:7" x14ac:dyDescent="0.25">
      <c r="A1613" s="30" t="s">
        <v>2852</v>
      </c>
      <c r="B1613" s="30" t="s">
        <v>2853</v>
      </c>
      <c r="C1613" s="31">
        <v>7831.12</v>
      </c>
      <c r="D1613" s="31">
        <v>0</v>
      </c>
      <c r="E1613" s="31">
        <v>210000</v>
      </c>
      <c r="F1613" s="31">
        <v>0</v>
      </c>
      <c r="G1613" s="29"/>
    </row>
    <row r="1614" spans="1:7" x14ac:dyDescent="0.25">
      <c r="A1614" s="30" t="s">
        <v>2854</v>
      </c>
      <c r="B1614" s="30" t="s">
        <v>2855</v>
      </c>
      <c r="C1614" s="31">
        <v>7831.12</v>
      </c>
      <c r="D1614" s="31">
        <v>0</v>
      </c>
      <c r="E1614" s="31">
        <v>210000</v>
      </c>
      <c r="F1614" s="31">
        <v>0</v>
      </c>
      <c r="G1614" s="29"/>
    </row>
    <row r="1615" spans="1:7" x14ac:dyDescent="0.25">
      <c r="A1615" s="30" t="s">
        <v>2856</v>
      </c>
      <c r="B1615" s="30" t="s">
        <v>2857</v>
      </c>
      <c r="C1615" s="31">
        <v>0</v>
      </c>
      <c r="D1615" s="31">
        <v>57179.14</v>
      </c>
      <c r="E1615" s="31">
        <v>100000</v>
      </c>
      <c r="F1615" s="31">
        <v>0</v>
      </c>
      <c r="G1615" s="29"/>
    </row>
    <row r="1616" spans="1:7" x14ac:dyDescent="0.25">
      <c r="A1616" s="23" t="s">
        <v>1116</v>
      </c>
      <c r="B1616" s="23" t="s">
        <v>2</v>
      </c>
      <c r="C1616" s="32">
        <v>15662.24</v>
      </c>
      <c r="D1616" s="32">
        <v>62179.14</v>
      </c>
      <c r="E1616" s="32">
        <f>SUM(E1611:E1615)</f>
        <v>1000000</v>
      </c>
      <c r="F1616" s="32">
        <f>SUM(F1611:F1615)</f>
        <v>0</v>
      </c>
      <c r="G1616" s="29"/>
    </row>
    <row r="1617" spans="1:7" x14ac:dyDescent="0.25">
      <c r="A1617" s="1" t="s">
        <v>740</v>
      </c>
      <c r="B1617" s="1" t="s">
        <v>2</v>
      </c>
    </row>
    <row r="1618" spans="1:7" ht="15" customHeight="1" x14ac:dyDescent="0.25">
      <c r="A1618" s="2" t="s">
        <v>1222</v>
      </c>
      <c r="B1618" s="2" t="s">
        <v>1223</v>
      </c>
      <c r="C1618" s="3">
        <v>6114.92</v>
      </c>
      <c r="D1618" s="3">
        <v>6711.81</v>
      </c>
      <c r="E1618" s="3">
        <v>0</v>
      </c>
      <c r="F1618" s="5">
        <v>0</v>
      </c>
    </row>
    <row r="1619" spans="1:7" ht="15" customHeight="1" x14ac:dyDescent="0.25">
      <c r="A1619" s="2" t="s">
        <v>1224</v>
      </c>
      <c r="B1619" s="2" t="s">
        <v>1225</v>
      </c>
      <c r="C1619" s="3">
        <v>518.88</v>
      </c>
      <c r="D1619" s="3">
        <v>621.5</v>
      </c>
      <c r="E1619" s="3">
        <v>0</v>
      </c>
      <c r="F1619" s="5">
        <v>0</v>
      </c>
    </row>
    <row r="1620" spans="1:7" ht="15" customHeight="1" x14ac:dyDescent="0.25">
      <c r="A1620" s="2" t="s">
        <v>1226</v>
      </c>
      <c r="B1620" s="2" t="s">
        <v>1227</v>
      </c>
      <c r="C1620" s="3">
        <v>21.3</v>
      </c>
      <c r="D1620" s="3">
        <v>22.69</v>
      </c>
      <c r="E1620" s="3">
        <v>0</v>
      </c>
      <c r="F1620" s="5">
        <v>0</v>
      </c>
    </row>
    <row r="1621" spans="1:7" ht="15" customHeight="1" x14ac:dyDescent="0.25">
      <c r="A1621" s="2" t="s">
        <v>1228</v>
      </c>
      <c r="B1621" s="2" t="s">
        <v>1229</v>
      </c>
      <c r="C1621" s="3">
        <v>465.93</v>
      </c>
      <c r="D1621" s="3">
        <v>511.22</v>
      </c>
      <c r="E1621" s="3">
        <v>0</v>
      </c>
      <c r="F1621" s="5">
        <v>0</v>
      </c>
    </row>
    <row r="1622" spans="1:7" ht="15" customHeight="1" x14ac:dyDescent="0.25">
      <c r="A1622" s="2" t="s">
        <v>1230</v>
      </c>
      <c r="B1622" s="2" t="s">
        <v>1231</v>
      </c>
      <c r="C1622" s="3">
        <v>836.36</v>
      </c>
      <c r="D1622" s="3">
        <v>901.85</v>
      </c>
      <c r="E1622" s="3">
        <v>0</v>
      </c>
      <c r="F1622" s="5">
        <v>0</v>
      </c>
    </row>
    <row r="1623" spans="1:7" ht="15" customHeight="1" x14ac:dyDescent="0.25">
      <c r="A1623" s="2" t="s">
        <v>1232</v>
      </c>
      <c r="B1623" s="2" t="s">
        <v>13</v>
      </c>
      <c r="C1623" s="3">
        <v>8.98</v>
      </c>
      <c r="D1623" s="3">
        <v>13.69</v>
      </c>
      <c r="E1623" s="3">
        <v>0</v>
      </c>
      <c r="F1623" s="5">
        <v>0</v>
      </c>
    </row>
    <row r="1624" spans="1:7" ht="15" customHeight="1" x14ac:dyDescent="0.25">
      <c r="A1624" s="2" t="s">
        <v>1233</v>
      </c>
      <c r="B1624" s="2" t="s">
        <v>1234</v>
      </c>
      <c r="C1624" s="3">
        <v>7695.87</v>
      </c>
      <c r="D1624" s="3">
        <v>69000</v>
      </c>
      <c r="E1624" s="3">
        <v>0</v>
      </c>
      <c r="F1624" s="5">
        <v>0</v>
      </c>
    </row>
    <row r="1625" spans="1:7" ht="15" customHeight="1" x14ac:dyDescent="0.25">
      <c r="A1625" s="2" t="s">
        <v>1235</v>
      </c>
      <c r="B1625" s="2" t="s">
        <v>1236</v>
      </c>
      <c r="C1625" s="3">
        <v>0</v>
      </c>
      <c r="D1625" s="3">
        <v>0</v>
      </c>
      <c r="E1625" s="3">
        <v>1000000</v>
      </c>
      <c r="F1625" s="5">
        <v>0</v>
      </c>
    </row>
    <row r="1626" spans="1:7" ht="15" customHeight="1" x14ac:dyDescent="0.25">
      <c r="A1626" s="1" t="s">
        <v>1237</v>
      </c>
      <c r="B1626" s="1" t="s">
        <v>2</v>
      </c>
      <c r="C1626" s="4">
        <v>15662.24</v>
      </c>
      <c r="D1626" s="4">
        <v>77782.759999999995</v>
      </c>
      <c r="E1626" s="6">
        <f>SUM(E1618:E1625)</f>
        <v>1000000</v>
      </c>
      <c r="F1626" s="6">
        <f>SUM(F1618:F1625)</f>
        <v>0</v>
      </c>
    </row>
    <row r="1627" spans="1:7" ht="15" customHeight="1" x14ac:dyDescent="0.25">
      <c r="A1627" s="25" t="s">
        <v>2858</v>
      </c>
      <c r="B1627" s="25" t="s">
        <v>2</v>
      </c>
      <c r="C1627" s="33">
        <f>C1608+C1616-C1626</f>
        <v>0</v>
      </c>
      <c r="D1627" s="33">
        <f t="shared" ref="D1627:F1627" si="25">D1608+D1616-D1626</f>
        <v>-15603.619999999995</v>
      </c>
      <c r="E1627" s="33">
        <f t="shared" si="25"/>
        <v>0</v>
      </c>
      <c r="F1627" s="33">
        <f t="shared" si="25"/>
        <v>0</v>
      </c>
      <c r="G1627" s="25"/>
    </row>
    <row r="1628" spans="1:7" x14ac:dyDescent="0.25">
      <c r="A1628" s="1" t="s">
        <v>2</v>
      </c>
      <c r="B1628" s="1" t="s">
        <v>2</v>
      </c>
      <c r="C1628" s="36"/>
      <c r="D1628" s="1" t="s">
        <v>2</v>
      </c>
      <c r="E1628" s="1" t="s">
        <v>2</v>
      </c>
      <c r="F1628" s="1" t="s">
        <v>2</v>
      </c>
    </row>
    <row r="1629" spans="1:7" ht="15" customHeight="1" x14ac:dyDescent="0.25">
      <c r="A1629" s="27" t="s">
        <v>2846</v>
      </c>
      <c r="B1629" s="27" t="s">
        <v>2</v>
      </c>
      <c r="C1629" s="28">
        <v>447619.74</v>
      </c>
      <c r="D1629" s="28">
        <v>923270.94</v>
      </c>
      <c r="E1629" s="28">
        <v>923270.94</v>
      </c>
      <c r="F1629" s="28">
        <f>E1671</f>
        <v>903270.93999999948</v>
      </c>
      <c r="G1629" s="27"/>
    </row>
    <row r="1630" spans="1:7" x14ac:dyDescent="0.25">
      <c r="A1630" s="23" t="s">
        <v>1238</v>
      </c>
      <c r="B1630" s="23" t="s">
        <v>2</v>
      </c>
      <c r="C1630" s="29"/>
      <c r="D1630" s="29"/>
      <c r="E1630" s="29"/>
      <c r="F1630" s="29"/>
      <c r="G1630" s="29"/>
    </row>
    <row r="1631" spans="1:7" x14ac:dyDescent="0.25">
      <c r="A1631" s="23" t="s">
        <v>2026</v>
      </c>
      <c r="B1631" s="23" t="s">
        <v>2</v>
      </c>
      <c r="C1631" s="29"/>
      <c r="D1631" s="29"/>
      <c r="E1631" s="29"/>
      <c r="F1631" s="29"/>
      <c r="G1631" s="29"/>
    </row>
    <row r="1632" spans="1:7" x14ac:dyDescent="0.25">
      <c r="A1632" s="30" t="s">
        <v>2859</v>
      </c>
      <c r="B1632" s="30" t="s">
        <v>2608</v>
      </c>
      <c r="C1632" s="31">
        <v>0</v>
      </c>
      <c r="D1632" s="31">
        <v>0</v>
      </c>
      <c r="E1632" s="31">
        <v>0</v>
      </c>
      <c r="F1632" s="31">
        <v>0</v>
      </c>
      <c r="G1632" s="29"/>
    </row>
    <row r="1633" spans="1:7" x14ac:dyDescent="0.25">
      <c r="A1633" s="30" t="s">
        <v>2860</v>
      </c>
      <c r="B1633" s="30" t="s">
        <v>2861</v>
      </c>
      <c r="C1633" s="31">
        <v>1673582.64</v>
      </c>
      <c r="D1633" s="31">
        <v>216014.56</v>
      </c>
      <c r="E1633" s="31">
        <v>8693138.1799999997</v>
      </c>
      <c r="F1633" s="31">
        <v>0</v>
      </c>
      <c r="G1633" s="29"/>
    </row>
    <row r="1634" spans="1:7" x14ac:dyDescent="0.25">
      <c r="A1634" s="30" t="s">
        <v>2862</v>
      </c>
      <c r="B1634" s="30" t="s">
        <v>2752</v>
      </c>
      <c r="C1634" s="31">
        <v>703178.3</v>
      </c>
      <c r="D1634" s="31">
        <v>12205.86</v>
      </c>
      <c r="E1634" s="31">
        <v>1806861.82</v>
      </c>
      <c r="F1634" s="31">
        <v>0</v>
      </c>
      <c r="G1634" s="29"/>
    </row>
    <row r="1635" spans="1:7" x14ac:dyDescent="0.25">
      <c r="A1635" s="30" t="s">
        <v>2863</v>
      </c>
      <c r="B1635" s="30" t="s">
        <v>2173</v>
      </c>
      <c r="C1635" s="31">
        <v>0</v>
      </c>
      <c r="D1635" s="31">
        <v>0</v>
      </c>
      <c r="E1635" s="31">
        <v>0</v>
      </c>
      <c r="F1635" s="31">
        <v>0</v>
      </c>
      <c r="G1635" s="29"/>
    </row>
    <row r="1636" spans="1:7" x14ac:dyDescent="0.25">
      <c r="A1636" s="30" t="s">
        <v>2864</v>
      </c>
      <c r="B1636" s="30" t="s">
        <v>2865</v>
      </c>
      <c r="C1636" s="31">
        <v>0</v>
      </c>
      <c r="D1636" s="31">
        <v>0</v>
      </c>
      <c r="E1636" s="31">
        <v>0</v>
      </c>
      <c r="F1636" s="31">
        <v>0</v>
      </c>
      <c r="G1636" s="29"/>
    </row>
    <row r="1637" spans="1:7" x14ac:dyDescent="0.25">
      <c r="A1637" s="30" t="s">
        <v>2866</v>
      </c>
      <c r="B1637" s="30" t="s">
        <v>2867</v>
      </c>
      <c r="C1637" s="31">
        <v>0</v>
      </c>
      <c r="D1637" s="31">
        <v>0</v>
      </c>
      <c r="E1637" s="31">
        <v>0</v>
      </c>
      <c r="F1637" s="31">
        <v>0</v>
      </c>
      <c r="G1637" s="29"/>
    </row>
    <row r="1638" spans="1:7" x14ac:dyDescent="0.25">
      <c r="A1638" s="30" t="s">
        <v>2868</v>
      </c>
      <c r="B1638" s="30" t="s">
        <v>2409</v>
      </c>
      <c r="C1638" s="31">
        <v>0</v>
      </c>
      <c r="D1638" s="31">
        <v>0</v>
      </c>
      <c r="E1638" s="31">
        <v>0</v>
      </c>
      <c r="F1638" s="31">
        <v>0</v>
      </c>
      <c r="G1638" s="29"/>
    </row>
    <row r="1639" spans="1:7" x14ac:dyDescent="0.25">
      <c r="A1639" s="23" t="s">
        <v>2</v>
      </c>
      <c r="B1639" s="23" t="s">
        <v>2</v>
      </c>
      <c r="C1639" s="23" t="s">
        <v>2</v>
      </c>
      <c r="D1639" s="23" t="s">
        <v>2</v>
      </c>
      <c r="E1639" s="23" t="s">
        <v>2</v>
      </c>
      <c r="F1639" s="23" t="s">
        <v>2</v>
      </c>
      <c r="G1639" s="29"/>
    </row>
    <row r="1640" spans="1:7" x14ac:dyDescent="0.25">
      <c r="A1640" s="23" t="s">
        <v>2724</v>
      </c>
      <c r="B1640" s="23" t="s">
        <v>2</v>
      </c>
      <c r="C1640" s="29"/>
      <c r="D1640" s="29"/>
      <c r="E1640" s="29"/>
      <c r="F1640" s="29"/>
      <c r="G1640" s="29"/>
    </row>
    <row r="1641" spans="1:7" x14ac:dyDescent="0.25">
      <c r="A1641" s="30" t="s">
        <v>2869</v>
      </c>
      <c r="B1641" s="30" t="s">
        <v>2870</v>
      </c>
      <c r="C1641" s="31">
        <v>0</v>
      </c>
      <c r="D1641" s="31">
        <v>0</v>
      </c>
      <c r="E1641" s="31">
        <v>0</v>
      </c>
      <c r="F1641" s="31">
        <v>0</v>
      </c>
      <c r="G1641" s="29"/>
    </row>
    <row r="1642" spans="1:7" x14ac:dyDescent="0.25">
      <c r="A1642" s="30" t="s">
        <v>2871</v>
      </c>
      <c r="B1642" s="30" t="s">
        <v>2872</v>
      </c>
      <c r="C1642" s="31">
        <v>0</v>
      </c>
      <c r="D1642" s="31">
        <v>0</v>
      </c>
      <c r="E1642" s="31">
        <v>0</v>
      </c>
      <c r="F1642" s="31">
        <v>0</v>
      </c>
      <c r="G1642" s="29"/>
    </row>
    <row r="1643" spans="1:7" x14ac:dyDescent="0.25">
      <c r="A1643" s="30" t="s">
        <v>2873</v>
      </c>
      <c r="B1643" s="30" t="s">
        <v>2874</v>
      </c>
      <c r="C1643" s="31">
        <v>0</v>
      </c>
      <c r="D1643" s="31">
        <v>0</v>
      </c>
      <c r="E1643" s="31">
        <v>0</v>
      </c>
      <c r="F1643" s="31">
        <v>0</v>
      </c>
      <c r="G1643" s="29"/>
    </row>
    <row r="1644" spans="1:7" x14ac:dyDescent="0.25">
      <c r="A1644" s="30" t="s">
        <v>2875</v>
      </c>
      <c r="B1644" s="30" t="s">
        <v>2876</v>
      </c>
      <c r="C1644" s="31">
        <v>0</v>
      </c>
      <c r="D1644" s="31">
        <v>0</v>
      </c>
      <c r="E1644" s="31">
        <v>0</v>
      </c>
      <c r="F1644" s="31">
        <v>0</v>
      </c>
      <c r="G1644" s="29"/>
    </row>
    <row r="1645" spans="1:7" x14ac:dyDescent="0.25">
      <c r="A1645" s="30" t="s">
        <v>2877</v>
      </c>
      <c r="B1645" s="30" t="s">
        <v>2878</v>
      </c>
      <c r="C1645" s="31">
        <v>0</v>
      </c>
      <c r="D1645" s="31">
        <v>0</v>
      </c>
      <c r="E1645" s="31">
        <v>0</v>
      </c>
      <c r="F1645" s="31">
        <v>0</v>
      </c>
      <c r="G1645" s="29"/>
    </row>
    <row r="1646" spans="1:7" x14ac:dyDescent="0.25">
      <c r="A1646" s="30" t="s">
        <v>2879</v>
      </c>
      <c r="B1646" s="30" t="s">
        <v>2880</v>
      </c>
      <c r="C1646" s="31">
        <v>0</v>
      </c>
      <c r="D1646" s="31">
        <v>0</v>
      </c>
      <c r="E1646" s="31">
        <v>0</v>
      </c>
      <c r="F1646" s="31">
        <v>0</v>
      </c>
      <c r="G1646" s="29"/>
    </row>
    <row r="1647" spans="1:7" x14ac:dyDescent="0.25">
      <c r="A1647" s="23" t="s">
        <v>2725</v>
      </c>
      <c r="B1647" s="23" t="s">
        <v>2</v>
      </c>
      <c r="C1647" s="32">
        <v>0</v>
      </c>
      <c r="D1647" s="32">
        <v>0</v>
      </c>
      <c r="E1647" s="32">
        <f>SUM(E1641:E1646)</f>
        <v>0</v>
      </c>
      <c r="F1647" s="32">
        <f>SUM(F1641:F1646)</f>
        <v>0</v>
      </c>
      <c r="G1647" s="29"/>
    </row>
    <row r="1648" spans="1:7" x14ac:dyDescent="0.25">
      <c r="A1648" s="23" t="s">
        <v>2</v>
      </c>
      <c r="B1648" s="23" t="s">
        <v>2</v>
      </c>
      <c r="C1648" s="23" t="s">
        <v>2</v>
      </c>
      <c r="D1648" s="23" t="s">
        <v>2</v>
      </c>
      <c r="E1648" s="23" t="s">
        <v>2</v>
      </c>
      <c r="F1648" s="23" t="s">
        <v>2</v>
      </c>
      <c r="G1648" s="29"/>
    </row>
    <row r="1649" spans="1:7" x14ac:dyDescent="0.25">
      <c r="A1649" s="30" t="s">
        <v>2881</v>
      </c>
      <c r="B1649" s="30" t="s">
        <v>2882</v>
      </c>
      <c r="C1649" s="31">
        <v>250000</v>
      </c>
      <c r="D1649" s="31">
        <v>0</v>
      </c>
      <c r="E1649" s="31">
        <v>4000000</v>
      </c>
      <c r="F1649" s="31">
        <v>0</v>
      </c>
      <c r="G1649" s="29"/>
    </row>
    <row r="1650" spans="1:7" x14ac:dyDescent="0.25">
      <c r="A1650" s="30"/>
      <c r="B1650" s="30"/>
      <c r="C1650" s="31"/>
      <c r="D1650" s="31"/>
      <c r="E1650" s="31"/>
      <c r="F1650" s="31"/>
      <c r="G1650" s="29"/>
    </row>
    <row r="1651" spans="1:7" x14ac:dyDescent="0.25">
      <c r="A1651" s="23" t="s">
        <v>1116</v>
      </c>
      <c r="B1651" s="23" t="s">
        <v>2</v>
      </c>
      <c r="C1651" s="32">
        <v>2626760.94</v>
      </c>
      <c r="D1651" s="32">
        <v>228220.42</v>
      </c>
      <c r="E1651" s="32">
        <f>E1649+E1647+SUM(E1632:E1638)</f>
        <v>14500000</v>
      </c>
      <c r="F1651" s="32">
        <f>F1649+F1647+SUM(F1632:F1638)</f>
        <v>0</v>
      </c>
      <c r="G1651" s="29"/>
    </row>
    <row r="1652" spans="1:7" ht="15" customHeight="1" x14ac:dyDescent="0.25">
      <c r="A1652" s="1" t="s">
        <v>740</v>
      </c>
      <c r="B1652" s="1" t="s">
        <v>2</v>
      </c>
    </row>
    <row r="1653" spans="1:7" ht="28.5" customHeight="1" x14ac:dyDescent="0.25">
      <c r="A1653" s="1" t="s">
        <v>1239</v>
      </c>
      <c r="B1653" s="1" t="s">
        <v>2</v>
      </c>
    </row>
    <row r="1654" spans="1:7" ht="15" customHeight="1" x14ac:dyDescent="0.25">
      <c r="A1654" s="2" t="s">
        <v>1240</v>
      </c>
      <c r="B1654" s="2" t="s">
        <v>1241</v>
      </c>
      <c r="C1654" s="3">
        <v>0</v>
      </c>
      <c r="D1654" s="3">
        <v>0</v>
      </c>
      <c r="E1654" s="3">
        <v>0</v>
      </c>
      <c r="F1654" s="5">
        <v>0</v>
      </c>
    </row>
    <row r="1655" spans="1:7" ht="15" customHeight="1" x14ac:dyDescent="0.25">
      <c r="A1655" s="2" t="s">
        <v>1242</v>
      </c>
      <c r="B1655" s="2" t="s">
        <v>144</v>
      </c>
      <c r="C1655" s="3">
        <v>0</v>
      </c>
      <c r="D1655" s="3">
        <v>0</v>
      </c>
      <c r="E1655" s="3">
        <v>0</v>
      </c>
      <c r="F1655" s="5">
        <v>0</v>
      </c>
    </row>
    <row r="1656" spans="1:7" ht="15" customHeight="1" x14ac:dyDescent="0.25">
      <c r="A1656" s="2" t="s">
        <v>1243</v>
      </c>
      <c r="B1656" s="2" t="s">
        <v>1244</v>
      </c>
      <c r="C1656" s="3">
        <v>0</v>
      </c>
      <c r="D1656" s="3">
        <v>0</v>
      </c>
      <c r="E1656" s="3">
        <v>0</v>
      </c>
      <c r="F1656" s="5">
        <v>0</v>
      </c>
    </row>
    <row r="1657" spans="1:7" ht="15" customHeight="1" x14ac:dyDescent="0.25">
      <c r="A1657" s="2" t="s">
        <v>1245</v>
      </c>
      <c r="B1657" s="2" t="s">
        <v>1246</v>
      </c>
      <c r="C1657" s="3">
        <v>143219.82</v>
      </c>
      <c r="D1657" s="3">
        <v>38241.24</v>
      </c>
      <c r="E1657" s="3">
        <v>1500000</v>
      </c>
      <c r="F1657" s="5">
        <v>0</v>
      </c>
    </row>
    <row r="1658" spans="1:7" ht="15" customHeight="1" x14ac:dyDescent="0.25">
      <c r="A1658" s="2" t="s">
        <v>1247</v>
      </c>
      <c r="B1658" s="2" t="s">
        <v>1248</v>
      </c>
      <c r="C1658" s="3">
        <v>0</v>
      </c>
      <c r="D1658" s="3">
        <v>0</v>
      </c>
      <c r="E1658" s="3">
        <v>0</v>
      </c>
      <c r="F1658" s="5">
        <v>0</v>
      </c>
    </row>
    <row r="1659" spans="1:7" x14ac:dyDescent="0.25">
      <c r="A1659" s="2" t="s">
        <v>1249</v>
      </c>
      <c r="B1659" s="2" t="s">
        <v>1250</v>
      </c>
      <c r="C1659" s="3">
        <v>4100.7700000000004</v>
      </c>
      <c r="D1659" s="3">
        <v>0</v>
      </c>
      <c r="E1659" s="3">
        <v>0</v>
      </c>
      <c r="F1659" s="5">
        <v>0</v>
      </c>
    </row>
    <row r="1660" spans="1:7" ht="15" customHeight="1" x14ac:dyDescent="0.25">
      <c r="A1660" s="2" t="s">
        <v>1251</v>
      </c>
      <c r="B1660" s="2" t="s">
        <v>1252</v>
      </c>
      <c r="C1660" s="3">
        <v>0</v>
      </c>
      <c r="D1660" s="3">
        <v>0</v>
      </c>
      <c r="E1660" s="3">
        <v>0</v>
      </c>
      <c r="F1660" s="5">
        <v>0</v>
      </c>
    </row>
    <row r="1661" spans="1:7" x14ac:dyDescent="0.25">
      <c r="A1661" s="2" t="s">
        <v>1253</v>
      </c>
      <c r="B1661" s="2" t="s">
        <v>1254</v>
      </c>
      <c r="C1661" s="3">
        <v>108255.38</v>
      </c>
      <c r="D1661" s="3">
        <v>79835.37</v>
      </c>
      <c r="E1661" s="3">
        <v>0</v>
      </c>
      <c r="F1661" s="5">
        <v>0</v>
      </c>
    </row>
    <row r="1662" spans="1:7" ht="15" customHeight="1" x14ac:dyDescent="0.25">
      <c r="A1662" s="2" t="s">
        <v>1255</v>
      </c>
      <c r="B1662" s="2" t="s">
        <v>1256</v>
      </c>
      <c r="C1662" s="3">
        <v>1611310.82</v>
      </c>
      <c r="D1662" s="3">
        <v>308227.5</v>
      </c>
      <c r="E1662" s="3">
        <v>9000000</v>
      </c>
      <c r="F1662" s="5">
        <v>0</v>
      </c>
    </row>
    <row r="1663" spans="1:7" ht="15" customHeight="1" x14ac:dyDescent="0.25">
      <c r="A1663" s="2" t="s">
        <v>1257</v>
      </c>
      <c r="B1663" s="2" t="s">
        <v>1258</v>
      </c>
      <c r="C1663" s="3">
        <v>32378.3</v>
      </c>
      <c r="D1663" s="3">
        <v>31024.87</v>
      </c>
      <c r="E1663" s="3">
        <v>0</v>
      </c>
      <c r="F1663" s="5">
        <v>0</v>
      </c>
    </row>
    <row r="1664" spans="1:7" ht="26.25" customHeight="1" x14ac:dyDescent="0.25">
      <c r="A1664" s="1" t="s">
        <v>1259</v>
      </c>
      <c r="B1664" s="1" t="s">
        <v>2</v>
      </c>
      <c r="C1664" s="4">
        <v>1899265.09</v>
      </c>
      <c r="D1664" s="4">
        <v>457328.98</v>
      </c>
      <c r="E1664" s="6">
        <f>SUM(E1654:E1663)</f>
        <v>10500000</v>
      </c>
      <c r="F1664" s="6">
        <f>SUM(F1654:F1663)</f>
        <v>0</v>
      </c>
    </row>
    <row r="1665" spans="1:7" x14ac:dyDescent="0.25">
      <c r="A1665" s="1" t="s">
        <v>2</v>
      </c>
      <c r="B1665" s="1" t="s">
        <v>2</v>
      </c>
      <c r="C1665" s="1" t="s">
        <v>2</v>
      </c>
      <c r="D1665" s="1" t="s">
        <v>2</v>
      </c>
      <c r="E1665" s="1" t="s">
        <v>2</v>
      </c>
      <c r="F1665" s="1" t="s">
        <v>2</v>
      </c>
    </row>
    <row r="1666" spans="1:7" ht="15" customHeight="1" x14ac:dyDescent="0.25">
      <c r="A1666" s="2" t="s">
        <v>1260</v>
      </c>
      <c r="B1666" s="2" t="s">
        <v>1261</v>
      </c>
      <c r="C1666" s="3">
        <v>0</v>
      </c>
      <c r="D1666" s="3">
        <v>0</v>
      </c>
      <c r="E1666" s="3">
        <v>0</v>
      </c>
      <c r="F1666" s="5">
        <v>0</v>
      </c>
    </row>
    <row r="1667" spans="1:7" ht="15" customHeight="1" x14ac:dyDescent="0.25">
      <c r="A1667" s="2" t="s">
        <v>1262</v>
      </c>
      <c r="B1667" s="2" t="s">
        <v>1263</v>
      </c>
      <c r="C1667" s="3">
        <v>250000</v>
      </c>
      <c r="D1667" s="3">
        <v>0</v>
      </c>
      <c r="E1667" s="3">
        <v>4000000</v>
      </c>
      <c r="F1667" s="5">
        <v>0</v>
      </c>
    </row>
    <row r="1668" spans="1:7" x14ac:dyDescent="0.25">
      <c r="A1668" s="2" t="s">
        <v>1264</v>
      </c>
      <c r="B1668" s="2" t="s">
        <v>1265</v>
      </c>
      <c r="C1668" s="3">
        <v>1844.65</v>
      </c>
      <c r="D1668" s="3">
        <v>0</v>
      </c>
      <c r="E1668" s="3">
        <v>20000</v>
      </c>
      <c r="F1668" s="5">
        <v>0</v>
      </c>
    </row>
    <row r="1669" spans="1:7" x14ac:dyDescent="0.25">
      <c r="A1669" s="2"/>
      <c r="B1669" s="2"/>
      <c r="C1669" s="3"/>
      <c r="D1669" s="3"/>
      <c r="E1669" s="3"/>
      <c r="F1669" s="5"/>
    </row>
    <row r="1670" spans="1:7" ht="15" customHeight="1" x14ac:dyDescent="0.25">
      <c r="A1670" s="1" t="s">
        <v>1266</v>
      </c>
      <c r="B1670" s="1" t="s">
        <v>2</v>
      </c>
      <c r="C1670" s="4">
        <v>2151109.7400000002</v>
      </c>
      <c r="D1670" s="4">
        <v>457328.98</v>
      </c>
      <c r="E1670" s="6">
        <f>SUM(E1666:E1668)+E1664</f>
        <v>14520000</v>
      </c>
      <c r="F1670" s="6">
        <f>SUM(F1666:F1668)+F1664</f>
        <v>0</v>
      </c>
    </row>
    <row r="1671" spans="1:7" ht="15" customHeight="1" x14ac:dyDescent="0.25">
      <c r="A1671" s="25" t="s">
        <v>2883</v>
      </c>
      <c r="B1671" s="25" t="s">
        <v>2</v>
      </c>
      <c r="C1671" s="33">
        <f>C1629+C1651-C1670</f>
        <v>923270.93999999948</v>
      </c>
      <c r="D1671" s="33">
        <f t="shared" ref="D1671:F1671" si="26">D1629+D1651-D1670</f>
        <v>694162.37999999989</v>
      </c>
      <c r="E1671" s="33">
        <f t="shared" si="26"/>
        <v>903270.93999999948</v>
      </c>
      <c r="F1671" s="33">
        <f t="shared" si="26"/>
        <v>903270.93999999948</v>
      </c>
      <c r="G1671" s="25"/>
    </row>
    <row r="1672" spans="1:7" x14ac:dyDescent="0.25">
      <c r="A1672" s="1" t="s">
        <v>2</v>
      </c>
      <c r="B1672" s="1" t="s">
        <v>2</v>
      </c>
      <c r="C1672" s="1" t="s">
        <v>2</v>
      </c>
      <c r="D1672" s="1" t="s">
        <v>2</v>
      </c>
      <c r="E1672" s="1" t="s">
        <v>2</v>
      </c>
      <c r="F1672" s="1" t="s">
        <v>2</v>
      </c>
    </row>
    <row r="1673" spans="1:7" ht="15" customHeight="1" x14ac:dyDescent="0.25">
      <c r="A1673" s="27" t="s">
        <v>2884</v>
      </c>
      <c r="B1673" s="27" t="s">
        <v>2</v>
      </c>
      <c r="C1673" s="28">
        <v>2986587.26</v>
      </c>
      <c r="D1673" s="28">
        <v>4441881.0599999996</v>
      </c>
      <c r="E1673" s="28">
        <v>4441881.0599999996</v>
      </c>
      <c r="F1673" s="28">
        <f>E1913</f>
        <v>3375433.7699999996</v>
      </c>
      <c r="G1673" s="27"/>
    </row>
    <row r="1674" spans="1:7" x14ac:dyDescent="0.25">
      <c r="A1674" s="23" t="s">
        <v>1267</v>
      </c>
      <c r="B1674" s="23" t="s">
        <v>2</v>
      </c>
      <c r="C1674" s="29"/>
      <c r="D1674" s="29"/>
      <c r="E1674" s="29"/>
      <c r="F1674" s="29"/>
      <c r="G1674" s="29"/>
    </row>
    <row r="1675" spans="1:7" x14ac:dyDescent="0.25">
      <c r="A1675" s="23" t="s">
        <v>2026</v>
      </c>
      <c r="B1675" s="23" t="s">
        <v>2</v>
      </c>
      <c r="C1675" s="29"/>
      <c r="D1675" s="29"/>
      <c r="E1675" s="29"/>
      <c r="F1675" s="29"/>
      <c r="G1675" s="29"/>
    </row>
    <row r="1676" spans="1:7" x14ac:dyDescent="0.25">
      <c r="A1676" s="23" t="s">
        <v>2048</v>
      </c>
      <c r="B1676" s="23" t="s">
        <v>2</v>
      </c>
      <c r="C1676" s="29"/>
      <c r="D1676" s="29"/>
      <c r="E1676" s="29"/>
      <c r="F1676" s="29"/>
      <c r="G1676" s="29"/>
    </row>
    <row r="1677" spans="1:7" x14ac:dyDescent="0.25">
      <c r="A1677" s="30" t="s">
        <v>2885</v>
      </c>
      <c r="B1677" s="30" t="s">
        <v>2886</v>
      </c>
      <c r="C1677" s="31">
        <v>6912</v>
      </c>
      <c r="D1677" s="31">
        <v>6912</v>
      </c>
      <c r="E1677" s="31">
        <v>6912</v>
      </c>
      <c r="F1677" s="31">
        <v>0</v>
      </c>
      <c r="G1677" s="29"/>
    </row>
    <row r="1678" spans="1:7" x14ac:dyDescent="0.25">
      <c r="A1678" s="23" t="s">
        <v>2101</v>
      </c>
      <c r="B1678" s="23" t="s">
        <v>2</v>
      </c>
      <c r="C1678" s="32">
        <v>6912</v>
      </c>
      <c r="D1678" s="32">
        <v>6912</v>
      </c>
      <c r="E1678" s="32">
        <f>SUM(E1677)</f>
        <v>6912</v>
      </c>
      <c r="F1678" s="32">
        <f>SUM(F1677)</f>
        <v>0</v>
      </c>
      <c r="G1678" s="29"/>
    </row>
    <row r="1679" spans="1:7" x14ac:dyDescent="0.25">
      <c r="A1679" s="23" t="s">
        <v>2</v>
      </c>
      <c r="B1679" s="23" t="s">
        <v>2</v>
      </c>
      <c r="C1679" s="23" t="s">
        <v>2</v>
      </c>
      <c r="D1679" s="23" t="s">
        <v>2</v>
      </c>
      <c r="E1679" s="23" t="s">
        <v>2</v>
      </c>
      <c r="F1679" s="23" t="s">
        <v>2</v>
      </c>
      <c r="G1679" s="29"/>
    </row>
    <row r="1680" spans="1:7" x14ac:dyDescent="0.25">
      <c r="A1680" s="23" t="s">
        <v>2102</v>
      </c>
      <c r="B1680" s="23" t="s">
        <v>2</v>
      </c>
      <c r="C1680" s="29"/>
      <c r="D1680" s="29"/>
      <c r="E1680" s="29"/>
      <c r="F1680" s="29"/>
      <c r="G1680" s="29"/>
    </row>
    <row r="1681" spans="1:7" x14ac:dyDescent="0.25">
      <c r="A1681" s="30" t="s">
        <v>2887</v>
      </c>
      <c r="B1681" s="30" t="s">
        <v>2608</v>
      </c>
      <c r="C1681" s="31">
        <v>0</v>
      </c>
      <c r="D1681" s="31">
        <v>0</v>
      </c>
      <c r="E1681" s="31">
        <v>0</v>
      </c>
      <c r="F1681" s="31">
        <v>0</v>
      </c>
      <c r="G1681" s="29"/>
    </row>
    <row r="1682" spans="1:7" x14ac:dyDescent="0.25">
      <c r="A1682" s="30" t="s">
        <v>2888</v>
      </c>
      <c r="B1682" s="30" t="s">
        <v>2889</v>
      </c>
      <c r="C1682" s="31">
        <v>0</v>
      </c>
      <c r="D1682" s="31">
        <v>0</v>
      </c>
      <c r="E1682" s="31">
        <v>0</v>
      </c>
      <c r="F1682" s="31">
        <v>0</v>
      </c>
      <c r="G1682" s="29"/>
    </row>
    <row r="1683" spans="1:7" x14ac:dyDescent="0.25">
      <c r="A1683" s="30" t="s">
        <v>2890</v>
      </c>
      <c r="B1683" s="30" t="s">
        <v>2123</v>
      </c>
      <c r="C1683" s="31">
        <v>598.72</v>
      </c>
      <c r="D1683" s="31">
        <v>0</v>
      </c>
      <c r="E1683" s="31">
        <v>0</v>
      </c>
      <c r="F1683" s="31">
        <v>0</v>
      </c>
      <c r="G1683" s="29"/>
    </row>
    <row r="1684" spans="1:7" x14ac:dyDescent="0.25">
      <c r="A1684" s="23" t="s">
        <v>2174</v>
      </c>
      <c r="B1684" s="23" t="s">
        <v>2</v>
      </c>
      <c r="C1684" s="32">
        <v>598.72</v>
      </c>
      <c r="D1684" s="32">
        <v>0</v>
      </c>
      <c r="E1684" s="32">
        <f>SUM(E1681:E1683)</f>
        <v>0</v>
      </c>
      <c r="F1684" s="32">
        <f>SUM(F1681:F1683)</f>
        <v>0</v>
      </c>
      <c r="G1684" s="29"/>
    </row>
    <row r="1685" spans="1:7" x14ac:dyDescent="0.25">
      <c r="A1685" s="23" t="s">
        <v>2</v>
      </c>
      <c r="B1685" s="23" t="s">
        <v>2</v>
      </c>
      <c r="C1685" s="23" t="s">
        <v>2</v>
      </c>
      <c r="D1685" s="23" t="s">
        <v>2</v>
      </c>
      <c r="E1685" s="23" t="s">
        <v>2</v>
      </c>
      <c r="F1685" s="23" t="s">
        <v>2</v>
      </c>
      <c r="G1685" s="29"/>
    </row>
    <row r="1686" spans="1:7" x14ac:dyDescent="0.25">
      <c r="A1686" s="23" t="s">
        <v>2706</v>
      </c>
      <c r="B1686" s="23" t="s">
        <v>2</v>
      </c>
      <c r="C1686" s="29"/>
      <c r="D1686" s="29"/>
      <c r="E1686" s="29"/>
      <c r="F1686" s="29"/>
      <c r="G1686" s="29"/>
    </row>
    <row r="1687" spans="1:7" x14ac:dyDescent="0.25">
      <c r="A1687" s="23" t="s">
        <v>2707</v>
      </c>
      <c r="B1687" s="23" t="s">
        <v>2</v>
      </c>
      <c r="C1687" s="29"/>
      <c r="D1687" s="29"/>
      <c r="E1687" s="29"/>
      <c r="F1687" s="29"/>
      <c r="G1687" s="29"/>
    </row>
    <row r="1688" spans="1:7" x14ac:dyDescent="0.25">
      <c r="A1688" s="30" t="s">
        <v>2891</v>
      </c>
      <c r="B1688" s="30" t="s">
        <v>2892</v>
      </c>
      <c r="C1688" s="31">
        <v>1315160.0900000001</v>
      </c>
      <c r="D1688" s="31">
        <v>382170.9</v>
      </c>
      <c r="E1688" s="31">
        <v>660977</v>
      </c>
      <c r="F1688" s="31">
        <v>0</v>
      </c>
      <c r="G1688" s="29"/>
    </row>
    <row r="1689" spans="1:7" x14ac:dyDescent="0.25">
      <c r="A1689" s="30" t="s">
        <v>2893</v>
      </c>
      <c r="B1689" s="30" t="s">
        <v>2894</v>
      </c>
      <c r="C1689" s="31">
        <v>11451.2</v>
      </c>
      <c r="D1689" s="31">
        <v>6860</v>
      </c>
      <c r="E1689" s="31">
        <v>0</v>
      </c>
      <c r="F1689" s="31">
        <v>0</v>
      </c>
      <c r="G1689" s="29"/>
    </row>
    <row r="1690" spans="1:7" x14ac:dyDescent="0.25">
      <c r="A1690" s="30" t="s">
        <v>2895</v>
      </c>
      <c r="B1690" s="30" t="s">
        <v>2896</v>
      </c>
      <c r="C1690" s="31">
        <v>0</v>
      </c>
      <c r="D1690" s="31">
        <v>0</v>
      </c>
      <c r="E1690" s="31">
        <v>0</v>
      </c>
      <c r="F1690" s="31">
        <v>0</v>
      </c>
      <c r="G1690" s="29"/>
    </row>
    <row r="1691" spans="1:7" x14ac:dyDescent="0.25">
      <c r="A1691" s="30" t="s">
        <v>2897</v>
      </c>
      <c r="B1691" s="30" t="s">
        <v>2898</v>
      </c>
      <c r="C1691" s="31">
        <v>3386313.24</v>
      </c>
      <c r="D1691" s="31">
        <v>1683144.99</v>
      </c>
      <c r="E1691" s="31">
        <v>3652679</v>
      </c>
      <c r="F1691" s="31">
        <v>0</v>
      </c>
      <c r="G1691" s="29"/>
    </row>
    <row r="1692" spans="1:7" x14ac:dyDescent="0.25">
      <c r="A1692" s="30" t="s">
        <v>2899</v>
      </c>
      <c r="B1692" s="30" t="s">
        <v>2900</v>
      </c>
      <c r="C1692" s="31">
        <v>83214.42</v>
      </c>
      <c r="D1692" s="31">
        <v>38462.47</v>
      </c>
      <c r="E1692" s="31">
        <v>75000</v>
      </c>
      <c r="F1692" s="31">
        <v>0</v>
      </c>
      <c r="G1692" s="29"/>
    </row>
    <row r="1693" spans="1:7" x14ac:dyDescent="0.25">
      <c r="A1693" s="30" t="s">
        <v>2901</v>
      </c>
      <c r="B1693" s="30" t="s">
        <v>2902</v>
      </c>
      <c r="C1693" s="31">
        <v>0</v>
      </c>
      <c r="D1693" s="31">
        <v>0</v>
      </c>
      <c r="E1693" s="31">
        <v>0</v>
      </c>
      <c r="F1693" s="31">
        <v>0</v>
      </c>
      <c r="G1693" s="29"/>
    </row>
    <row r="1694" spans="1:7" x14ac:dyDescent="0.25">
      <c r="A1694" s="30" t="s">
        <v>2903</v>
      </c>
      <c r="B1694" s="30" t="s">
        <v>2904</v>
      </c>
      <c r="C1694" s="31">
        <v>0</v>
      </c>
      <c r="D1694" s="31">
        <v>0</v>
      </c>
      <c r="E1694" s="31">
        <v>0</v>
      </c>
      <c r="F1694" s="31">
        <v>0</v>
      </c>
      <c r="G1694" s="29"/>
    </row>
    <row r="1695" spans="1:7" x14ac:dyDescent="0.25">
      <c r="A1695" s="30" t="s">
        <v>2905</v>
      </c>
      <c r="B1695" s="30" t="s">
        <v>2906</v>
      </c>
      <c r="C1695" s="31">
        <v>8925.25</v>
      </c>
      <c r="D1695" s="31">
        <v>2492.91</v>
      </c>
      <c r="E1695" s="31">
        <v>3000</v>
      </c>
      <c r="F1695" s="31">
        <v>0</v>
      </c>
      <c r="G1695" s="29"/>
    </row>
    <row r="1696" spans="1:7" x14ac:dyDescent="0.25">
      <c r="A1696" s="30" t="s">
        <v>2907</v>
      </c>
      <c r="B1696" s="30" t="s">
        <v>2908</v>
      </c>
      <c r="C1696" s="31">
        <v>0</v>
      </c>
      <c r="D1696" s="31">
        <v>810</v>
      </c>
      <c r="E1696" s="31">
        <v>0</v>
      </c>
      <c r="F1696" s="31">
        <v>0</v>
      </c>
      <c r="G1696" s="29"/>
    </row>
    <row r="1697" spans="1:7" x14ac:dyDescent="0.25">
      <c r="A1697" s="30" t="s">
        <v>2909</v>
      </c>
      <c r="B1697" s="30" t="s">
        <v>2910</v>
      </c>
      <c r="C1697" s="31">
        <v>300</v>
      </c>
      <c r="D1697" s="31">
        <v>500.61</v>
      </c>
      <c r="E1697" s="31">
        <v>0</v>
      </c>
      <c r="F1697" s="31">
        <v>0</v>
      </c>
      <c r="G1697" s="29"/>
    </row>
    <row r="1698" spans="1:7" x14ac:dyDescent="0.25">
      <c r="A1698" s="30" t="s">
        <v>2911</v>
      </c>
      <c r="B1698" s="30" t="s">
        <v>2912</v>
      </c>
      <c r="C1698" s="31">
        <v>68088.639999999999</v>
      </c>
      <c r="D1698" s="31">
        <v>12593.43</v>
      </c>
      <c r="E1698" s="31">
        <v>10000</v>
      </c>
      <c r="F1698" s="31">
        <v>0</v>
      </c>
      <c r="G1698" s="29"/>
    </row>
    <row r="1699" spans="1:7" x14ac:dyDescent="0.25">
      <c r="A1699" s="30" t="s">
        <v>2913</v>
      </c>
      <c r="B1699" s="30" t="s">
        <v>2914</v>
      </c>
      <c r="C1699" s="31">
        <v>4790</v>
      </c>
      <c r="D1699" s="31">
        <v>2850</v>
      </c>
      <c r="E1699" s="31">
        <v>3500</v>
      </c>
      <c r="F1699" s="31">
        <v>0</v>
      </c>
      <c r="G1699" s="29"/>
    </row>
    <row r="1700" spans="1:7" x14ac:dyDescent="0.25">
      <c r="A1700" s="30" t="s">
        <v>2915</v>
      </c>
      <c r="B1700" s="30" t="s">
        <v>2916</v>
      </c>
      <c r="C1700" s="31">
        <v>8600</v>
      </c>
      <c r="D1700" s="31">
        <v>2440</v>
      </c>
      <c r="E1700" s="31">
        <v>3500</v>
      </c>
      <c r="F1700" s="31">
        <v>0</v>
      </c>
      <c r="G1700" s="29"/>
    </row>
    <row r="1701" spans="1:7" x14ac:dyDescent="0.25">
      <c r="A1701" s="30" t="s">
        <v>2917</v>
      </c>
      <c r="B1701" s="30" t="s">
        <v>2918</v>
      </c>
      <c r="C1701" s="31">
        <v>20900</v>
      </c>
      <c r="D1701" s="31">
        <v>5800</v>
      </c>
      <c r="E1701" s="31">
        <v>12000</v>
      </c>
      <c r="F1701" s="31">
        <v>0</v>
      </c>
      <c r="G1701" s="29"/>
    </row>
    <row r="1702" spans="1:7" x14ac:dyDescent="0.25">
      <c r="A1702" s="30" t="s">
        <v>2919</v>
      </c>
      <c r="B1702" s="30" t="s">
        <v>2920</v>
      </c>
      <c r="C1702" s="31">
        <v>22017.8</v>
      </c>
      <c r="D1702" s="31">
        <v>7942.2</v>
      </c>
      <c r="E1702" s="31">
        <v>10000</v>
      </c>
      <c r="F1702" s="31">
        <v>0</v>
      </c>
      <c r="G1702" s="29"/>
    </row>
    <row r="1703" spans="1:7" x14ac:dyDescent="0.25">
      <c r="A1703" s="30" t="s">
        <v>2921</v>
      </c>
      <c r="B1703" s="30" t="s">
        <v>2922</v>
      </c>
      <c r="C1703" s="31">
        <v>160</v>
      </c>
      <c r="D1703" s="31">
        <v>120</v>
      </c>
      <c r="E1703" s="31">
        <v>0</v>
      </c>
      <c r="F1703" s="31">
        <v>0</v>
      </c>
      <c r="G1703" s="29"/>
    </row>
    <row r="1704" spans="1:7" x14ac:dyDescent="0.25">
      <c r="A1704" s="30" t="s">
        <v>2923</v>
      </c>
      <c r="B1704" s="30" t="s">
        <v>2924</v>
      </c>
      <c r="C1704" s="31">
        <v>0</v>
      </c>
      <c r="D1704" s="31">
        <v>0</v>
      </c>
      <c r="E1704" s="31">
        <v>0</v>
      </c>
      <c r="F1704" s="31">
        <v>0</v>
      </c>
      <c r="G1704" s="29"/>
    </row>
    <row r="1705" spans="1:7" x14ac:dyDescent="0.25">
      <c r="A1705" s="30" t="s">
        <v>2925</v>
      </c>
      <c r="B1705" s="30" t="s">
        <v>2926</v>
      </c>
      <c r="C1705" s="31">
        <v>0</v>
      </c>
      <c r="D1705" s="31">
        <v>0</v>
      </c>
      <c r="E1705" s="31">
        <v>0</v>
      </c>
      <c r="F1705" s="31">
        <v>0</v>
      </c>
      <c r="G1705" s="29"/>
    </row>
    <row r="1706" spans="1:7" x14ac:dyDescent="0.25">
      <c r="A1706" s="30" t="s">
        <v>2927</v>
      </c>
      <c r="B1706" s="30" t="s">
        <v>64</v>
      </c>
      <c r="C1706" s="31">
        <v>236.69</v>
      </c>
      <c r="D1706" s="31">
        <v>0</v>
      </c>
      <c r="E1706" s="31">
        <v>0</v>
      </c>
      <c r="F1706" s="31">
        <v>0</v>
      </c>
      <c r="G1706" s="29"/>
    </row>
    <row r="1707" spans="1:7" x14ac:dyDescent="0.25">
      <c r="A1707" s="23" t="s">
        <v>2710</v>
      </c>
      <c r="B1707" s="23" t="s">
        <v>2</v>
      </c>
      <c r="C1707" s="32">
        <v>4930157.33</v>
      </c>
      <c r="D1707" s="32">
        <v>2146187.5099999998</v>
      </c>
      <c r="E1707" s="32">
        <f>SUM(E1688:E1706)</f>
        <v>4430656</v>
      </c>
      <c r="F1707" s="32">
        <f>SUM(F1688:F1706)</f>
        <v>0</v>
      </c>
      <c r="G1707" s="29"/>
    </row>
    <row r="1708" spans="1:7" x14ac:dyDescent="0.25">
      <c r="A1708" s="23" t="s">
        <v>2</v>
      </c>
      <c r="B1708" s="23" t="s">
        <v>2</v>
      </c>
      <c r="C1708" s="23" t="s">
        <v>2</v>
      </c>
      <c r="D1708" s="23" t="s">
        <v>2</v>
      </c>
      <c r="E1708" s="23" t="s">
        <v>2</v>
      </c>
      <c r="F1708" s="23" t="s">
        <v>2</v>
      </c>
      <c r="G1708" s="29"/>
    </row>
    <row r="1709" spans="1:7" x14ac:dyDescent="0.25">
      <c r="A1709" s="23" t="s">
        <v>2721</v>
      </c>
      <c r="B1709" s="23" t="s">
        <v>2</v>
      </c>
      <c r="C1709" s="32">
        <v>4930157.33</v>
      </c>
      <c r="D1709" s="32">
        <v>2146187.5099999998</v>
      </c>
      <c r="E1709" s="32">
        <f>E1707</f>
        <v>4430656</v>
      </c>
      <c r="F1709" s="32">
        <f>F1707</f>
        <v>0</v>
      </c>
      <c r="G1709" s="29"/>
    </row>
    <row r="1710" spans="1:7" x14ac:dyDescent="0.25">
      <c r="A1710" s="23" t="s">
        <v>2</v>
      </c>
      <c r="B1710" s="23" t="s">
        <v>2</v>
      </c>
      <c r="C1710" s="23" t="s">
        <v>2</v>
      </c>
      <c r="D1710" s="23" t="s">
        <v>2</v>
      </c>
      <c r="E1710" s="23" t="s">
        <v>2</v>
      </c>
      <c r="F1710" s="23" t="s">
        <v>2</v>
      </c>
      <c r="G1710" s="29"/>
    </row>
    <row r="1711" spans="1:7" x14ac:dyDescent="0.25">
      <c r="A1711" s="30" t="s">
        <v>2928</v>
      </c>
      <c r="B1711" s="30" t="s">
        <v>2584</v>
      </c>
      <c r="C1711" s="31">
        <v>3636.94</v>
      </c>
      <c r="D1711" s="31">
        <v>10674.46</v>
      </c>
      <c r="E1711" s="31">
        <v>0</v>
      </c>
      <c r="F1711" s="31">
        <v>0</v>
      </c>
      <c r="G1711" s="29"/>
    </row>
    <row r="1712" spans="1:7" x14ac:dyDescent="0.25">
      <c r="A1712" s="30" t="s">
        <v>2929</v>
      </c>
      <c r="B1712" s="30" t="s">
        <v>2930</v>
      </c>
      <c r="C1712" s="31">
        <v>594</v>
      </c>
      <c r="D1712" s="31">
        <v>486</v>
      </c>
      <c r="E1712" s="31">
        <v>0</v>
      </c>
      <c r="F1712" s="31">
        <v>0</v>
      </c>
      <c r="G1712" s="29"/>
    </row>
    <row r="1713" spans="1:7" x14ac:dyDescent="0.25">
      <c r="A1713" s="30" t="s">
        <v>2931</v>
      </c>
      <c r="B1713" s="30" t="s">
        <v>2932</v>
      </c>
      <c r="C1713" s="31">
        <v>0</v>
      </c>
      <c r="D1713" s="31">
        <v>0</v>
      </c>
      <c r="E1713" s="31">
        <v>0</v>
      </c>
      <c r="F1713" s="31">
        <v>0</v>
      </c>
      <c r="G1713" s="29"/>
    </row>
    <row r="1714" spans="1:7" x14ac:dyDescent="0.25">
      <c r="A1714" s="30" t="s">
        <v>2933</v>
      </c>
      <c r="B1714" s="30" t="s">
        <v>2934</v>
      </c>
      <c r="C1714" s="31">
        <v>0</v>
      </c>
      <c r="D1714" s="31">
        <v>1413.57</v>
      </c>
      <c r="E1714" s="31">
        <v>0</v>
      </c>
      <c r="F1714" s="31">
        <v>0</v>
      </c>
      <c r="G1714" s="29"/>
    </row>
    <row r="1715" spans="1:7" x14ac:dyDescent="0.25">
      <c r="A1715" s="30"/>
      <c r="B1715" s="30"/>
      <c r="C1715" s="31"/>
      <c r="D1715" s="31"/>
      <c r="E1715" s="31"/>
      <c r="F1715" s="31"/>
      <c r="G1715" s="29"/>
    </row>
    <row r="1716" spans="1:7" x14ac:dyDescent="0.25">
      <c r="A1716" s="23" t="s">
        <v>2175</v>
      </c>
      <c r="B1716" s="23" t="s">
        <v>2</v>
      </c>
      <c r="C1716" s="29"/>
      <c r="D1716" s="29"/>
      <c r="E1716" s="29"/>
      <c r="F1716" s="29"/>
      <c r="G1716" s="29"/>
    </row>
    <row r="1717" spans="1:7" x14ac:dyDescent="0.25">
      <c r="A1717" s="23" t="s">
        <v>2176</v>
      </c>
      <c r="B1717" s="23" t="s">
        <v>2</v>
      </c>
      <c r="C1717" s="29"/>
      <c r="D1717" s="29"/>
      <c r="E1717" s="29"/>
      <c r="F1717" s="29"/>
      <c r="G1717" s="29"/>
    </row>
    <row r="1718" spans="1:7" x14ac:dyDescent="0.25">
      <c r="A1718" s="30" t="s">
        <v>2935</v>
      </c>
      <c r="B1718" s="30" t="s">
        <v>2409</v>
      </c>
      <c r="C1718" s="31">
        <v>2036.3</v>
      </c>
      <c r="D1718" s="31">
        <v>1804.67</v>
      </c>
      <c r="E1718" s="31">
        <v>0</v>
      </c>
      <c r="F1718" s="31">
        <v>0</v>
      </c>
      <c r="G1718" s="29"/>
    </row>
    <row r="1719" spans="1:7" x14ac:dyDescent="0.25">
      <c r="A1719" s="30" t="s">
        <v>2936</v>
      </c>
      <c r="B1719" s="30" t="s">
        <v>2703</v>
      </c>
      <c r="C1719" s="31">
        <v>0</v>
      </c>
      <c r="D1719" s="31">
        <v>0</v>
      </c>
      <c r="E1719" s="31">
        <v>0</v>
      </c>
      <c r="F1719" s="31">
        <v>0</v>
      </c>
      <c r="G1719" s="29"/>
    </row>
    <row r="1720" spans="1:7" x14ac:dyDescent="0.25">
      <c r="A1720" s="30" t="s">
        <v>2937</v>
      </c>
      <c r="B1720" s="30" t="s">
        <v>2938</v>
      </c>
      <c r="C1720" s="31">
        <v>3.24</v>
      </c>
      <c r="D1720" s="31">
        <v>2.33</v>
      </c>
      <c r="E1720" s="31">
        <v>0</v>
      </c>
      <c r="F1720" s="31">
        <v>0</v>
      </c>
      <c r="G1720" s="29"/>
    </row>
    <row r="1721" spans="1:7" x14ac:dyDescent="0.25">
      <c r="A1721" s="23" t="s">
        <v>2179</v>
      </c>
      <c r="B1721" s="23" t="s">
        <v>2</v>
      </c>
      <c r="C1721" s="32">
        <v>2039.54</v>
      </c>
      <c r="D1721" s="32">
        <v>1807</v>
      </c>
      <c r="E1721" s="32">
        <f>SUM(E1718:E1720)</f>
        <v>0</v>
      </c>
      <c r="F1721" s="32">
        <f>SUM(F1718:F1720)</f>
        <v>0</v>
      </c>
      <c r="G1721" s="29"/>
    </row>
    <row r="1722" spans="1:7" x14ac:dyDescent="0.25">
      <c r="A1722" s="23" t="s">
        <v>2</v>
      </c>
      <c r="B1722" s="23" t="s">
        <v>2</v>
      </c>
      <c r="C1722" s="23" t="s">
        <v>2</v>
      </c>
      <c r="D1722" s="23" t="s">
        <v>2</v>
      </c>
      <c r="E1722" s="23" t="s">
        <v>2</v>
      </c>
      <c r="F1722" s="23" t="s">
        <v>2</v>
      </c>
      <c r="G1722" s="29"/>
    </row>
    <row r="1723" spans="1:7" x14ac:dyDescent="0.25">
      <c r="A1723" s="23" t="s">
        <v>2581</v>
      </c>
      <c r="B1723" s="23" t="s">
        <v>2</v>
      </c>
      <c r="C1723" s="29"/>
      <c r="D1723" s="29"/>
      <c r="E1723" s="29"/>
      <c r="F1723" s="29"/>
      <c r="G1723" s="29"/>
    </row>
    <row r="1724" spans="1:7" x14ac:dyDescent="0.25">
      <c r="A1724" s="30" t="s">
        <v>2939</v>
      </c>
      <c r="B1724" s="30" t="s">
        <v>2940</v>
      </c>
      <c r="C1724" s="31">
        <v>840.15</v>
      </c>
      <c r="D1724" s="31">
        <v>0</v>
      </c>
      <c r="E1724" s="31">
        <v>0</v>
      </c>
      <c r="F1724" s="31">
        <v>0</v>
      </c>
      <c r="G1724" s="29"/>
    </row>
    <row r="1725" spans="1:7" x14ac:dyDescent="0.25">
      <c r="A1725" s="30" t="s">
        <v>2941</v>
      </c>
      <c r="B1725" s="30" t="s">
        <v>2942</v>
      </c>
      <c r="C1725" s="31">
        <v>0</v>
      </c>
      <c r="D1725" s="31">
        <v>0</v>
      </c>
      <c r="E1725" s="31">
        <v>0</v>
      </c>
      <c r="F1725" s="31">
        <v>0</v>
      </c>
      <c r="G1725" s="29"/>
    </row>
    <row r="1726" spans="1:7" x14ac:dyDescent="0.25">
      <c r="A1726" s="30" t="s">
        <v>2943</v>
      </c>
      <c r="B1726" s="30" t="s">
        <v>2944</v>
      </c>
      <c r="C1726" s="31">
        <v>0</v>
      </c>
      <c r="D1726" s="31">
        <v>0</v>
      </c>
      <c r="E1726" s="31">
        <v>0</v>
      </c>
      <c r="F1726" s="31">
        <v>0</v>
      </c>
      <c r="G1726" s="29"/>
    </row>
    <row r="1727" spans="1:7" x14ac:dyDescent="0.25">
      <c r="A1727" s="23" t="s">
        <v>2585</v>
      </c>
      <c r="B1727" s="23" t="s">
        <v>2</v>
      </c>
      <c r="C1727" s="32">
        <v>840.15</v>
      </c>
      <c r="D1727" s="32">
        <v>0</v>
      </c>
      <c r="E1727" s="32">
        <f>SUM(E1724:E1726)</f>
        <v>0</v>
      </c>
      <c r="F1727" s="32">
        <f>SUM(F1724:F1726)</f>
        <v>0</v>
      </c>
      <c r="G1727" s="29"/>
    </row>
    <row r="1728" spans="1:7" x14ac:dyDescent="0.25">
      <c r="A1728" s="23" t="s">
        <v>2</v>
      </c>
      <c r="B1728" s="23" t="s">
        <v>2</v>
      </c>
      <c r="C1728" s="23" t="s">
        <v>2</v>
      </c>
      <c r="D1728" s="23" t="s">
        <v>2</v>
      </c>
      <c r="E1728" s="23" t="s">
        <v>2</v>
      </c>
      <c r="F1728" s="23" t="s">
        <v>2</v>
      </c>
      <c r="G1728" s="29"/>
    </row>
    <row r="1729" spans="1:7" x14ac:dyDescent="0.25">
      <c r="A1729" s="23" t="s">
        <v>2180</v>
      </c>
      <c r="B1729" s="23" t="s">
        <v>2</v>
      </c>
      <c r="C1729" s="32">
        <v>2879.69</v>
      </c>
      <c r="D1729" s="32">
        <v>1807</v>
      </c>
      <c r="E1729" s="32">
        <f>E1727+E1721</f>
        <v>0</v>
      </c>
      <c r="F1729" s="32">
        <f>F1727+F1721</f>
        <v>0</v>
      </c>
      <c r="G1729" s="29"/>
    </row>
    <row r="1730" spans="1:7" x14ac:dyDescent="0.25">
      <c r="A1730" s="23" t="s">
        <v>2</v>
      </c>
      <c r="B1730" s="23" t="s">
        <v>2</v>
      </c>
      <c r="C1730" s="23" t="s">
        <v>2</v>
      </c>
      <c r="D1730" s="23" t="s">
        <v>2</v>
      </c>
      <c r="E1730" s="23" t="s">
        <v>2</v>
      </c>
      <c r="F1730" s="23" t="s">
        <v>2</v>
      </c>
      <c r="G1730" s="29"/>
    </row>
    <row r="1731" spans="1:7" x14ac:dyDescent="0.25">
      <c r="A1731" s="23" t="s">
        <v>2945</v>
      </c>
      <c r="B1731" s="23" t="s">
        <v>2</v>
      </c>
      <c r="C1731" s="29"/>
      <c r="D1731" s="29"/>
      <c r="E1731" s="29"/>
      <c r="F1731" s="29"/>
      <c r="G1731" s="29"/>
    </row>
    <row r="1732" spans="1:7" x14ac:dyDescent="0.25">
      <c r="A1732" s="23" t="s">
        <v>2532</v>
      </c>
      <c r="B1732" s="23" t="s">
        <v>2</v>
      </c>
      <c r="C1732" s="29"/>
      <c r="D1732" s="29"/>
      <c r="E1732" s="29"/>
      <c r="F1732" s="29"/>
      <c r="G1732" s="29"/>
    </row>
    <row r="1733" spans="1:7" x14ac:dyDescent="0.25">
      <c r="A1733" s="30" t="s">
        <v>2946</v>
      </c>
      <c r="B1733" s="30" t="s">
        <v>2947</v>
      </c>
      <c r="C1733" s="31">
        <v>0</v>
      </c>
      <c r="D1733" s="31">
        <v>0</v>
      </c>
      <c r="E1733" s="31">
        <v>0</v>
      </c>
      <c r="F1733" s="31">
        <v>0</v>
      </c>
      <c r="G1733" s="29"/>
    </row>
    <row r="1734" spans="1:7" x14ac:dyDescent="0.25">
      <c r="A1734" s="23" t="s">
        <v>2537</v>
      </c>
      <c r="B1734" s="23" t="s">
        <v>2</v>
      </c>
      <c r="C1734" s="32">
        <v>0</v>
      </c>
      <c r="D1734" s="32">
        <v>0</v>
      </c>
      <c r="E1734" s="32">
        <f>SUM(E1733)</f>
        <v>0</v>
      </c>
      <c r="F1734" s="32">
        <f>SUM(F1733)</f>
        <v>0</v>
      </c>
      <c r="G1734" s="29"/>
    </row>
    <row r="1735" spans="1:7" x14ac:dyDescent="0.25">
      <c r="A1735" s="23" t="s">
        <v>2</v>
      </c>
      <c r="B1735" s="23" t="s">
        <v>2</v>
      </c>
      <c r="C1735" s="23" t="s">
        <v>2</v>
      </c>
      <c r="D1735" s="23" t="s">
        <v>2</v>
      </c>
      <c r="E1735" s="23" t="s">
        <v>2</v>
      </c>
      <c r="F1735" s="23" t="s">
        <v>2</v>
      </c>
      <c r="G1735" s="29"/>
    </row>
    <row r="1736" spans="1:7" ht="27.75" customHeight="1" x14ac:dyDescent="0.25">
      <c r="A1736" s="23" t="s">
        <v>2948</v>
      </c>
      <c r="B1736" s="23" t="s">
        <v>2</v>
      </c>
      <c r="C1736" s="29"/>
      <c r="D1736" s="29"/>
      <c r="E1736" s="29"/>
      <c r="F1736" s="29"/>
      <c r="G1736" s="29"/>
    </row>
    <row r="1737" spans="1:7" x14ac:dyDescent="0.25">
      <c r="A1737" s="30" t="s">
        <v>2949</v>
      </c>
      <c r="B1737" s="30" t="s">
        <v>2539</v>
      </c>
      <c r="C1737" s="31">
        <v>0</v>
      </c>
      <c r="D1737" s="31">
        <v>0</v>
      </c>
      <c r="E1737" s="31">
        <v>0</v>
      </c>
      <c r="F1737" s="31">
        <v>0</v>
      </c>
      <c r="G1737" s="29"/>
    </row>
    <row r="1738" spans="1:7" ht="24.75" customHeight="1" x14ac:dyDescent="0.25">
      <c r="A1738" s="23" t="s">
        <v>2950</v>
      </c>
      <c r="B1738" s="23" t="s">
        <v>2</v>
      </c>
      <c r="C1738" s="32">
        <v>0</v>
      </c>
      <c r="D1738" s="32">
        <v>0</v>
      </c>
      <c r="E1738" s="32">
        <f>SUM(E1737)</f>
        <v>0</v>
      </c>
      <c r="F1738" s="32">
        <f>SUM(F1737)</f>
        <v>0</v>
      </c>
      <c r="G1738" s="29"/>
    </row>
    <row r="1739" spans="1:7" x14ac:dyDescent="0.25">
      <c r="A1739" s="30"/>
      <c r="B1739" s="30"/>
      <c r="C1739" s="31"/>
      <c r="D1739" s="31"/>
      <c r="E1739" s="31"/>
      <c r="F1739" s="31"/>
      <c r="G1739" s="29"/>
    </row>
    <row r="1740" spans="1:7" x14ac:dyDescent="0.25">
      <c r="A1740" s="23" t="s">
        <v>2951</v>
      </c>
      <c r="B1740" s="23" t="s">
        <v>2</v>
      </c>
      <c r="C1740" s="32">
        <v>0</v>
      </c>
      <c r="D1740" s="32">
        <v>0</v>
      </c>
      <c r="E1740" s="32">
        <f>E1738+E1734</f>
        <v>0</v>
      </c>
      <c r="F1740" s="32">
        <f>F1738+F1734</f>
        <v>0</v>
      </c>
      <c r="G1740" s="29"/>
    </row>
    <row r="1741" spans="1:7" x14ac:dyDescent="0.25">
      <c r="A1741" s="23" t="s">
        <v>2</v>
      </c>
      <c r="B1741" s="23" t="s">
        <v>2</v>
      </c>
      <c r="C1741" s="23" t="s">
        <v>2</v>
      </c>
      <c r="D1741" s="23" t="s">
        <v>2</v>
      </c>
      <c r="E1741" s="23" t="s">
        <v>2</v>
      </c>
      <c r="F1741" s="23" t="s">
        <v>2</v>
      </c>
      <c r="G1741" s="29"/>
    </row>
    <row r="1742" spans="1:7" x14ac:dyDescent="0.25">
      <c r="A1742" s="23" t="s">
        <v>2553</v>
      </c>
      <c r="B1742" s="23" t="s">
        <v>2</v>
      </c>
      <c r="C1742" s="29"/>
      <c r="D1742" s="29"/>
      <c r="E1742" s="29"/>
      <c r="F1742" s="29"/>
      <c r="G1742" s="29"/>
    </row>
    <row r="1743" spans="1:7" x14ac:dyDescent="0.25">
      <c r="A1743" s="30" t="s">
        <v>2952</v>
      </c>
      <c r="B1743" s="30" t="s">
        <v>2953</v>
      </c>
      <c r="C1743" s="31">
        <v>0</v>
      </c>
      <c r="D1743" s="31">
        <v>0</v>
      </c>
      <c r="E1743" s="31">
        <v>0</v>
      </c>
      <c r="F1743" s="31">
        <v>0</v>
      </c>
      <c r="G1743" s="29"/>
    </row>
    <row r="1744" spans="1:7" x14ac:dyDescent="0.25">
      <c r="A1744" s="30" t="s">
        <v>2954</v>
      </c>
      <c r="B1744" s="30" t="s">
        <v>2955</v>
      </c>
      <c r="C1744" s="31">
        <v>0</v>
      </c>
      <c r="D1744" s="31">
        <v>0</v>
      </c>
      <c r="E1744" s="31">
        <v>0</v>
      </c>
      <c r="F1744" s="31">
        <v>0</v>
      </c>
      <c r="G1744" s="29"/>
    </row>
    <row r="1745" spans="1:7" x14ac:dyDescent="0.25">
      <c r="A1745" s="30" t="s">
        <v>2956</v>
      </c>
      <c r="B1745" s="30" t="s">
        <v>2957</v>
      </c>
      <c r="C1745" s="31">
        <v>0</v>
      </c>
      <c r="D1745" s="31">
        <v>0</v>
      </c>
      <c r="E1745" s="31">
        <v>0</v>
      </c>
      <c r="F1745" s="31">
        <v>0</v>
      </c>
      <c r="G1745" s="29"/>
    </row>
    <row r="1746" spans="1:7" x14ac:dyDescent="0.25">
      <c r="A1746" s="30" t="s">
        <v>2958</v>
      </c>
      <c r="B1746" s="30" t="s">
        <v>2959</v>
      </c>
      <c r="C1746" s="31">
        <v>0</v>
      </c>
      <c r="D1746" s="31">
        <v>0</v>
      </c>
      <c r="E1746" s="31">
        <v>0</v>
      </c>
      <c r="F1746" s="31">
        <v>0</v>
      </c>
      <c r="G1746" s="29"/>
    </row>
    <row r="1747" spans="1:7" x14ac:dyDescent="0.25">
      <c r="A1747" s="30" t="s">
        <v>2960</v>
      </c>
      <c r="B1747" s="30" t="s">
        <v>2961</v>
      </c>
      <c r="C1747" s="31">
        <v>0</v>
      </c>
      <c r="D1747" s="31">
        <v>0</v>
      </c>
      <c r="E1747" s="31">
        <v>0</v>
      </c>
      <c r="F1747" s="31">
        <v>0</v>
      </c>
      <c r="G1747" s="29"/>
    </row>
    <row r="1748" spans="1:7" x14ac:dyDescent="0.25">
      <c r="A1748" s="30" t="s">
        <v>2962</v>
      </c>
      <c r="B1748" s="30" t="s">
        <v>2963</v>
      </c>
      <c r="C1748" s="31">
        <v>270</v>
      </c>
      <c r="D1748" s="31">
        <v>0</v>
      </c>
      <c r="E1748" s="31">
        <v>625000</v>
      </c>
      <c r="F1748" s="31">
        <v>0</v>
      </c>
      <c r="G1748" s="29"/>
    </row>
    <row r="1749" spans="1:7" x14ac:dyDescent="0.25">
      <c r="A1749" s="30" t="s">
        <v>2964</v>
      </c>
      <c r="B1749" s="30" t="s">
        <v>2965</v>
      </c>
      <c r="C1749" s="31">
        <v>0</v>
      </c>
      <c r="D1749" s="31">
        <v>0</v>
      </c>
      <c r="E1749" s="31">
        <v>0</v>
      </c>
      <c r="F1749" s="31">
        <v>0</v>
      </c>
      <c r="G1749" s="29"/>
    </row>
    <row r="1750" spans="1:7" x14ac:dyDescent="0.25">
      <c r="A1750" s="23" t="s">
        <v>2556</v>
      </c>
      <c r="B1750" s="23" t="s">
        <v>2</v>
      </c>
      <c r="C1750" s="32">
        <v>270</v>
      </c>
      <c r="D1750" s="32">
        <v>0</v>
      </c>
      <c r="E1750" s="32">
        <f>SUM(E1743:E1749)</f>
        <v>625000</v>
      </c>
      <c r="F1750" s="32">
        <f>SUM(F1743:F1749)</f>
        <v>0</v>
      </c>
      <c r="G1750" s="29"/>
    </row>
    <row r="1751" spans="1:7" x14ac:dyDescent="0.25">
      <c r="A1751" s="23" t="s">
        <v>2</v>
      </c>
      <c r="B1751" s="23" t="s">
        <v>2</v>
      </c>
      <c r="C1751" s="23" t="s">
        <v>2</v>
      </c>
      <c r="D1751" s="23" t="s">
        <v>2</v>
      </c>
      <c r="E1751" s="23" t="s">
        <v>2</v>
      </c>
      <c r="F1751" s="23" t="s">
        <v>2</v>
      </c>
      <c r="G1751" s="29"/>
    </row>
    <row r="1752" spans="1:7" x14ac:dyDescent="0.25">
      <c r="A1752" s="30" t="s">
        <v>2966</v>
      </c>
      <c r="B1752" s="30" t="s">
        <v>64</v>
      </c>
      <c r="C1752" s="31">
        <v>0</v>
      </c>
      <c r="D1752" s="31">
        <v>0</v>
      </c>
      <c r="E1752" s="31">
        <v>0</v>
      </c>
      <c r="F1752" s="31">
        <v>0</v>
      </c>
      <c r="G1752" s="29"/>
    </row>
    <row r="1753" spans="1:7" x14ac:dyDescent="0.25">
      <c r="A1753" s="30" t="s">
        <v>2</v>
      </c>
      <c r="B1753" s="30" t="s">
        <v>2</v>
      </c>
      <c r="C1753" s="30" t="s">
        <v>2</v>
      </c>
      <c r="D1753" s="30" t="s">
        <v>2</v>
      </c>
      <c r="E1753" s="30" t="s">
        <v>2</v>
      </c>
      <c r="F1753" s="30" t="s">
        <v>2</v>
      </c>
      <c r="G1753" s="29"/>
    </row>
    <row r="1754" spans="1:7" x14ac:dyDescent="0.25">
      <c r="A1754" s="23" t="s">
        <v>1466</v>
      </c>
      <c r="B1754" s="23" t="s">
        <v>2</v>
      </c>
      <c r="C1754" s="32">
        <v>4945048.68</v>
      </c>
      <c r="D1754" s="32">
        <v>2167480.54</v>
      </c>
      <c r="E1754" s="32">
        <f>E1752+E1750+E1740+E1729+SUM(E1711:E1714)+E1709+E1684+E1678</f>
        <v>5062568</v>
      </c>
      <c r="F1754" s="32">
        <f>F1752+F1750+F1740+F1729+SUM(F1711:F1714)+F1709+F1684+F1678</f>
        <v>0</v>
      </c>
      <c r="G1754" s="29"/>
    </row>
    <row r="1755" spans="1:7" x14ac:dyDescent="0.25">
      <c r="A1755" s="1" t="s">
        <v>740</v>
      </c>
      <c r="B1755" s="1"/>
      <c r="C1755" s="4"/>
      <c r="D1755" s="4"/>
      <c r="E1755" s="4"/>
      <c r="F1755" s="4"/>
    </row>
    <row r="1756" spans="1:7" x14ac:dyDescent="0.25">
      <c r="A1756" s="1" t="s">
        <v>1267</v>
      </c>
      <c r="B1756" s="1" t="s">
        <v>2</v>
      </c>
    </row>
    <row r="1757" spans="1:7" ht="15" customHeight="1" x14ac:dyDescent="0.25">
      <c r="A1757" s="1" t="s">
        <v>1268</v>
      </c>
      <c r="B1757" s="1" t="s">
        <v>2</v>
      </c>
    </row>
    <row r="1758" spans="1:7" ht="15" customHeight="1" x14ac:dyDescent="0.25">
      <c r="A1758" s="2" t="s">
        <v>1269</v>
      </c>
      <c r="B1758" s="2" t="s">
        <v>108</v>
      </c>
      <c r="C1758" s="3">
        <v>40930.51</v>
      </c>
      <c r="D1758" s="3">
        <v>19302.03</v>
      </c>
      <c r="E1758" s="3">
        <v>52447.51</v>
      </c>
      <c r="F1758" s="5">
        <v>0</v>
      </c>
    </row>
    <row r="1759" spans="1:7" ht="15" customHeight="1" x14ac:dyDescent="0.25">
      <c r="A1759" s="2" t="s">
        <v>1270</v>
      </c>
      <c r="B1759" s="2" t="s">
        <v>652</v>
      </c>
      <c r="C1759" s="3">
        <v>80131.490000000005</v>
      </c>
      <c r="D1759" s="3">
        <v>35967.65</v>
      </c>
      <c r="E1759" s="3">
        <v>108004.93</v>
      </c>
      <c r="F1759" s="5">
        <v>0</v>
      </c>
    </row>
    <row r="1760" spans="1:7" ht="15" customHeight="1" x14ac:dyDescent="0.25">
      <c r="A1760" s="2" t="s">
        <v>1271</v>
      </c>
      <c r="B1760" s="2" t="s">
        <v>29</v>
      </c>
      <c r="C1760" s="3">
        <v>32920.6</v>
      </c>
      <c r="D1760" s="3">
        <v>16782.88</v>
      </c>
      <c r="E1760" s="3">
        <v>46449.4</v>
      </c>
      <c r="F1760" s="5">
        <v>0</v>
      </c>
    </row>
    <row r="1761" spans="1:6" ht="15" customHeight="1" x14ac:dyDescent="0.25">
      <c r="A1761" s="2" t="s">
        <v>1272</v>
      </c>
      <c r="B1761" s="2" t="s">
        <v>128</v>
      </c>
      <c r="C1761" s="3">
        <v>1087.3499999999999</v>
      </c>
      <c r="D1761" s="3">
        <v>385.98</v>
      </c>
      <c r="E1761" s="3">
        <v>1501.93</v>
      </c>
      <c r="F1761" s="5">
        <v>0</v>
      </c>
    </row>
    <row r="1762" spans="1:6" ht="15" customHeight="1" x14ac:dyDescent="0.25">
      <c r="A1762" s="2" t="s">
        <v>1273</v>
      </c>
      <c r="B1762" s="2" t="s">
        <v>33</v>
      </c>
      <c r="C1762" s="3">
        <v>16333.6</v>
      </c>
      <c r="D1762" s="3">
        <v>6656.79</v>
      </c>
      <c r="E1762" s="3">
        <v>19152.05</v>
      </c>
      <c r="F1762" s="5">
        <v>0</v>
      </c>
    </row>
    <row r="1763" spans="1:6" ht="15" customHeight="1" x14ac:dyDescent="0.25">
      <c r="A1763" s="2" t="s">
        <v>1274</v>
      </c>
      <c r="B1763" s="2" t="s">
        <v>11</v>
      </c>
      <c r="C1763" s="3">
        <v>9122.67</v>
      </c>
      <c r="D1763" s="3">
        <v>4163.29</v>
      </c>
      <c r="E1763" s="3">
        <v>12274.61</v>
      </c>
      <c r="F1763" s="5">
        <v>0</v>
      </c>
    </row>
    <row r="1764" spans="1:6" ht="15" customHeight="1" x14ac:dyDescent="0.25">
      <c r="A1764" s="2" t="s">
        <v>1275</v>
      </c>
      <c r="B1764" s="2" t="s">
        <v>13</v>
      </c>
      <c r="C1764" s="3">
        <v>178.04</v>
      </c>
      <c r="D1764" s="3">
        <v>117.16</v>
      </c>
      <c r="E1764" s="3">
        <v>235.87</v>
      </c>
      <c r="F1764" s="5">
        <v>0</v>
      </c>
    </row>
    <row r="1765" spans="1:6" ht="15" customHeight="1" x14ac:dyDescent="0.25">
      <c r="A1765" s="2" t="s">
        <v>1276</v>
      </c>
      <c r="B1765" s="2" t="s">
        <v>286</v>
      </c>
      <c r="C1765" s="3">
        <v>67</v>
      </c>
      <c r="D1765" s="3">
        <v>0</v>
      </c>
      <c r="E1765" s="3">
        <v>129.25</v>
      </c>
      <c r="F1765" s="5">
        <v>0</v>
      </c>
    </row>
    <row r="1766" spans="1:6" ht="15" customHeight="1" x14ac:dyDescent="0.25">
      <c r="A1766" s="2" t="s">
        <v>1277</v>
      </c>
      <c r="B1766" s="2" t="s">
        <v>1278</v>
      </c>
      <c r="C1766" s="3">
        <v>0</v>
      </c>
      <c r="D1766" s="3">
        <v>0</v>
      </c>
      <c r="E1766" s="3">
        <v>2500</v>
      </c>
      <c r="F1766" s="5">
        <v>0</v>
      </c>
    </row>
    <row r="1767" spans="1:6" ht="15" customHeight="1" x14ac:dyDescent="0.25">
      <c r="A1767" s="2" t="s">
        <v>1279</v>
      </c>
      <c r="B1767" s="2" t="s">
        <v>37</v>
      </c>
      <c r="C1767" s="3">
        <v>497.37</v>
      </c>
      <c r="D1767" s="3">
        <v>159.55000000000001</v>
      </c>
      <c r="E1767" s="3">
        <v>500</v>
      </c>
      <c r="F1767" s="5">
        <v>0</v>
      </c>
    </row>
    <row r="1768" spans="1:6" ht="15" customHeight="1" x14ac:dyDescent="0.25">
      <c r="A1768" s="2" t="s">
        <v>1280</v>
      </c>
      <c r="B1768" s="2" t="s">
        <v>39</v>
      </c>
      <c r="C1768" s="3">
        <v>0</v>
      </c>
      <c r="D1768" s="3">
        <v>0</v>
      </c>
      <c r="E1768" s="3">
        <v>500</v>
      </c>
      <c r="F1768" s="5">
        <v>0</v>
      </c>
    </row>
    <row r="1769" spans="1:6" ht="15" customHeight="1" x14ac:dyDescent="0.25">
      <c r="A1769" s="2" t="s">
        <v>1281</v>
      </c>
      <c r="B1769" s="2" t="s">
        <v>907</v>
      </c>
      <c r="C1769" s="3">
        <v>138125.85999999999</v>
      </c>
      <c r="D1769" s="3">
        <v>119010.61</v>
      </c>
      <c r="E1769" s="3">
        <v>119010.61</v>
      </c>
      <c r="F1769" s="5">
        <v>0</v>
      </c>
    </row>
    <row r="1770" spans="1:6" ht="15" customHeight="1" x14ac:dyDescent="0.25">
      <c r="A1770" s="2" t="s">
        <v>1282</v>
      </c>
      <c r="B1770" s="2" t="s">
        <v>1283</v>
      </c>
      <c r="C1770" s="3">
        <v>77322.259999999995</v>
      </c>
      <c r="D1770" s="3">
        <v>49046.03</v>
      </c>
      <c r="E1770" s="3">
        <v>49046.03</v>
      </c>
      <c r="F1770" s="5">
        <v>0</v>
      </c>
    </row>
    <row r="1771" spans="1:6" x14ac:dyDescent="0.25">
      <c r="A1771" s="2" t="s">
        <v>1284</v>
      </c>
      <c r="B1771" s="2" t="s">
        <v>15</v>
      </c>
      <c r="C1771" s="3">
        <v>28399.33</v>
      </c>
      <c r="D1771" s="3">
        <v>8693.16</v>
      </c>
      <c r="E1771" s="3">
        <v>8693.16</v>
      </c>
      <c r="F1771" s="5">
        <v>0</v>
      </c>
    </row>
    <row r="1772" spans="1:6" x14ac:dyDescent="0.25">
      <c r="A1772" s="2" t="s">
        <v>1285</v>
      </c>
      <c r="B1772" s="2" t="s">
        <v>1286</v>
      </c>
      <c r="C1772" s="3">
        <v>1862.84</v>
      </c>
      <c r="D1772" s="3">
        <v>8459.43</v>
      </c>
      <c r="E1772" s="3">
        <v>50000</v>
      </c>
      <c r="F1772" s="5">
        <v>0</v>
      </c>
    </row>
    <row r="1773" spans="1:6" ht="15" customHeight="1" x14ac:dyDescent="0.25">
      <c r="A1773" s="2" t="s">
        <v>1287</v>
      </c>
      <c r="B1773" s="2" t="s">
        <v>1288</v>
      </c>
      <c r="C1773" s="3">
        <v>0</v>
      </c>
      <c r="D1773" s="3">
        <v>0</v>
      </c>
      <c r="E1773" s="3">
        <v>0</v>
      </c>
      <c r="F1773" s="5">
        <v>0</v>
      </c>
    </row>
    <row r="1774" spans="1:6" x14ac:dyDescent="0.25">
      <c r="A1774" s="2" t="s">
        <v>1289</v>
      </c>
      <c r="B1774" s="2" t="s">
        <v>1290</v>
      </c>
      <c r="C1774" s="3">
        <v>34098.03</v>
      </c>
      <c r="D1774" s="3">
        <v>14048.08</v>
      </c>
      <c r="E1774" s="3">
        <v>25000</v>
      </c>
      <c r="F1774" s="5">
        <v>0</v>
      </c>
    </row>
    <row r="1775" spans="1:6" ht="15" customHeight="1" x14ac:dyDescent="0.25">
      <c r="A1775" s="2" t="s">
        <v>1291</v>
      </c>
      <c r="B1775" s="2" t="s">
        <v>59</v>
      </c>
      <c r="C1775" s="3">
        <v>226.55</v>
      </c>
      <c r="D1775" s="3">
        <v>292.99</v>
      </c>
      <c r="E1775" s="3">
        <v>3000</v>
      </c>
      <c r="F1775" s="5">
        <v>0</v>
      </c>
    </row>
    <row r="1776" spans="1:6" ht="15" customHeight="1" x14ac:dyDescent="0.25">
      <c r="A1776" s="2" t="s">
        <v>1292</v>
      </c>
      <c r="B1776" s="2" t="s">
        <v>99</v>
      </c>
      <c r="C1776" s="3">
        <v>8693.58</v>
      </c>
      <c r="D1776" s="3">
        <v>2687.67</v>
      </c>
      <c r="E1776" s="3">
        <v>6200</v>
      </c>
      <c r="F1776" s="5">
        <v>0</v>
      </c>
    </row>
    <row r="1777" spans="1:6" ht="15" customHeight="1" x14ac:dyDescent="0.25">
      <c r="A1777" s="2" t="s">
        <v>1293</v>
      </c>
      <c r="B1777" s="2" t="s">
        <v>17</v>
      </c>
      <c r="C1777" s="3">
        <v>0</v>
      </c>
      <c r="D1777" s="3">
        <v>0</v>
      </c>
      <c r="E1777" s="3">
        <v>500</v>
      </c>
      <c r="F1777" s="5">
        <v>0</v>
      </c>
    </row>
    <row r="1778" spans="1:6" ht="15" customHeight="1" x14ac:dyDescent="0.25">
      <c r="A1778" s="2" t="s">
        <v>1294</v>
      </c>
      <c r="B1778" s="2" t="s">
        <v>1295</v>
      </c>
      <c r="C1778" s="3">
        <v>0</v>
      </c>
      <c r="D1778" s="3">
        <v>0</v>
      </c>
      <c r="E1778" s="3">
        <v>250</v>
      </c>
      <c r="F1778" s="5">
        <v>0</v>
      </c>
    </row>
    <row r="1779" spans="1:6" ht="15" customHeight="1" x14ac:dyDescent="0.25">
      <c r="A1779" s="2" t="s">
        <v>1296</v>
      </c>
      <c r="B1779" s="2" t="s">
        <v>917</v>
      </c>
      <c r="C1779" s="3">
        <v>1476.96</v>
      </c>
      <c r="D1779" s="3">
        <v>615.75</v>
      </c>
      <c r="E1779" s="3">
        <v>1500</v>
      </c>
      <c r="F1779" s="5">
        <v>0</v>
      </c>
    </row>
    <row r="1780" spans="1:6" ht="15" customHeight="1" x14ac:dyDescent="0.25">
      <c r="A1780" s="2" t="s">
        <v>1297</v>
      </c>
      <c r="B1780" s="2" t="s">
        <v>62</v>
      </c>
      <c r="C1780" s="3">
        <v>621.24</v>
      </c>
      <c r="D1780" s="3">
        <v>237.51</v>
      </c>
      <c r="E1780" s="3">
        <v>650</v>
      </c>
      <c r="F1780" s="5">
        <v>0</v>
      </c>
    </row>
    <row r="1781" spans="1:6" ht="15" customHeight="1" x14ac:dyDescent="0.25">
      <c r="A1781" s="2" t="s">
        <v>1298</v>
      </c>
      <c r="B1781" s="2" t="s">
        <v>947</v>
      </c>
      <c r="C1781" s="3">
        <v>0</v>
      </c>
      <c r="D1781" s="3">
        <v>0</v>
      </c>
      <c r="E1781" s="3">
        <v>0</v>
      </c>
      <c r="F1781" s="5">
        <v>0</v>
      </c>
    </row>
    <row r="1782" spans="1:6" ht="15" customHeight="1" x14ac:dyDescent="0.25">
      <c r="A1782" s="2" t="s">
        <v>1299</v>
      </c>
      <c r="B1782" s="2" t="s">
        <v>64</v>
      </c>
      <c r="C1782" s="3">
        <v>503.79</v>
      </c>
      <c r="D1782" s="3">
        <v>15.64</v>
      </c>
      <c r="E1782" s="3">
        <v>500</v>
      </c>
      <c r="F1782" s="5">
        <v>0</v>
      </c>
    </row>
    <row r="1783" spans="1:6" ht="15" customHeight="1" x14ac:dyDescent="0.25">
      <c r="A1783" s="2" t="s">
        <v>1300</v>
      </c>
      <c r="B1783" s="2" t="s">
        <v>1301</v>
      </c>
      <c r="C1783" s="3">
        <v>0</v>
      </c>
      <c r="D1783" s="3">
        <v>0</v>
      </c>
      <c r="E1783" s="3">
        <v>0</v>
      </c>
      <c r="F1783" s="5">
        <v>0</v>
      </c>
    </row>
    <row r="1784" spans="1:6" ht="15" customHeight="1" x14ac:dyDescent="0.25">
      <c r="A1784" s="2" t="s">
        <v>1302</v>
      </c>
      <c r="B1784" s="2" t="s">
        <v>1303</v>
      </c>
      <c r="C1784" s="3">
        <v>192603.36</v>
      </c>
      <c r="D1784" s="3">
        <v>67340.759999999995</v>
      </c>
      <c r="E1784" s="3">
        <v>122755</v>
      </c>
      <c r="F1784" s="5">
        <v>0</v>
      </c>
    </row>
    <row r="1785" spans="1:6" ht="15" customHeight="1" x14ac:dyDescent="0.25">
      <c r="A1785" s="2" t="s">
        <v>1304</v>
      </c>
      <c r="B1785" s="2" t="s">
        <v>1305</v>
      </c>
      <c r="C1785" s="3">
        <v>446396.47</v>
      </c>
      <c r="D1785" s="3">
        <v>157697.76</v>
      </c>
      <c r="E1785" s="3">
        <v>276201</v>
      </c>
      <c r="F1785" s="5">
        <v>0</v>
      </c>
    </row>
    <row r="1786" spans="1:6" ht="15" customHeight="1" x14ac:dyDescent="0.25">
      <c r="A1786" s="1" t="s">
        <v>1306</v>
      </c>
      <c r="B1786" s="1" t="s">
        <v>2</v>
      </c>
      <c r="C1786" s="4">
        <v>1111598.8999999999</v>
      </c>
      <c r="D1786" s="4">
        <v>511680.72</v>
      </c>
      <c r="E1786" s="6">
        <f>SUM(E1758:E1785)</f>
        <v>907001.34999999986</v>
      </c>
      <c r="F1786" s="6">
        <f>SUM(F1758:F1785)</f>
        <v>0</v>
      </c>
    </row>
    <row r="1787" spans="1:6" x14ac:dyDescent="0.25">
      <c r="A1787" s="1" t="s">
        <v>2</v>
      </c>
      <c r="B1787" s="1" t="s">
        <v>2</v>
      </c>
      <c r="C1787" s="1" t="s">
        <v>2</v>
      </c>
      <c r="D1787" s="1" t="s">
        <v>2</v>
      </c>
      <c r="E1787" s="1" t="s">
        <v>2</v>
      </c>
      <c r="F1787" s="1" t="s">
        <v>2</v>
      </c>
    </row>
    <row r="1788" spans="1:6" ht="15" customHeight="1" x14ac:dyDescent="0.25">
      <c r="A1788" s="1" t="s">
        <v>1307</v>
      </c>
      <c r="B1788" s="1" t="s">
        <v>2</v>
      </c>
    </row>
    <row r="1789" spans="1:6" ht="15" customHeight="1" x14ac:dyDescent="0.25">
      <c r="A1789" s="2" t="s">
        <v>1308</v>
      </c>
      <c r="B1789" s="2" t="s">
        <v>108</v>
      </c>
      <c r="C1789" s="3">
        <v>208669.67</v>
      </c>
      <c r="D1789" s="3">
        <v>106815.01</v>
      </c>
      <c r="E1789" s="3">
        <v>279927.38</v>
      </c>
      <c r="F1789" s="5">
        <v>0</v>
      </c>
    </row>
    <row r="1790" spans="1:6" ht="15" customHeight="1" x14ac:dyDescent="0.25">
      <c r="A1790" s="2" t="s">
        <v>1309</v>
      </c>
      <c r="B1790" s="2" t="s">
        <v>567</v>
      </c>
      <c r="C1790" s="3">
        <v>1319.99</v>
      </c>
      <c r="D1790" s="3">
        <v>0</v>
      </c>
      <c r="E1790" s="3">
        <v>4488</v>
      </c>
      <c r="F1790" s="5">
        <v>0</v>
      </c>
    </row>
    <row r="1791" spans="1:6" ht="15" customHeight="1" x14ac:dyDescent="0.25">
      <c r="A1791" s="2" t="s">
        <v>1310</v>
      </c>
      <c r="B1791" s="2" t="s">
        <v>786</v>
      </c>
      <c r="C1791" s="3">
        <v>11191.54</v>
      </c>
      <c r="D1791" s="3">
        <v>4144.21</v>
      </c>
      <c r="E1791" s="3">
        <v>7832.8</v>
      </c>
      <c r="F1791" s="5">
        <v>0</v>
      </c>
    </row>
    <row r="1792" spans="1:6" ht="15" customHeight="1" x14ac:dyDescent="0.25">
      <c r="A1792" s="2" t="s">
        <v>1311</v>
      </c>
      <c r="B1792" s="2" t="s">
        <v>29</v>
      </c>
      <c r="C1792" s="3">
        <v>53818.48</v>
      </c>
      <c r="D1792" s="3">
        <v>28536.35</v>
      </c>
      <c r="E1792" s="3">
        <v>79527.8</v>
      </c>
      <c r="F1792" s="5">
        <v>0</v>
      </c>
    </row>
    <row r="1793" spans="1:6" ht="15" customHeight="1" x14ac:dyDescent="0.25">
      <c r="A1793" s="2" t="s">
        <v>1312</v>
      </c>
      <c r="B1793" s="2" t="s">
        <v>128</v>
      </c>
      <c r="C1793" s="3">
        <v>4998.75</v>
      </c>
      <c r="D1793" s="3">
        <v>2093.56</v>
      </c>
      <c r="E1793" s="3">
        <v>9507.93</v>
      </c>
      <c r="F1793" s="5">
        <v>0</v>
      </c>
    </row>
    <row r="1794" spans="1:6" ht="15" customHeight="1" x14ac:dyDescent="0.25">
      <c r="A1794" s="2" t="s">
        <v>1313</v>
      </c>
      <c r="B1794" s="2" t="s">
        <v>33</v>
      </c>
      <c r="C1794" s="3">
        <v>27605.88</v>
      </c>
      <c r="D1794" s="3">
        <v>12504.08</v>
      </c>
      <c r="E1794" s="3">
        <v>33388.589999999997</v>
      </c>
      <c r="F1794" s="5">
        <v>0</v>
      </c>
    </row>
    <row r="1795" spans="1:6" ht="15" customHeight="1" x14ac:dyDescent="0.25">
      <c r="A1795" s="2" t="s">
        <v>1314</v>
      </c>
      <c r="B1795" s="2" t="s">
        <v>11</v>
      </c>
      <c r="C1795" s="3">
        <v>15848.4</v>
      </c>
      <c r="D1795" s="3">
        <v>8049.82</v>
      </c>
      <c r="E1795" s="3">
        <v>21757.78</v>
      </c>
      <c r="F1795" s="5">
        <v>0</v>
      </c>
    </row>
    <row r="1796" spans="1:6" ht="15" customHeight="1" x14ac:dyDescent="0.25">
      <c r="A1796" s="2" t="s">
        <v>1315</v>
      </c>
      <c r="B1796" s="2" t="s">
        <v>13</v>
      </c>
      <c r="C1796" s="3">
        <v>325.7</v>
      </c>
      <c r="D1796" s="3">
        <v>234.98</v>
      </c>
      <c r="E1796" s="3">
        <v>429.6</v>
      </c>
      <c r="F1796" s="5">
        <v>0</v>
      </c>
    </row>
    <row r="1797" spans="1:6" ht="15" customHeight="1" x14ac:dyDescent="0.25">
      <c r="A1797" s="2" t="s">
        <v>1316</v>
      </c>
      <c r="B1797" s="2" t="s">
        <v>85</v>
      </c>
      <c r="C1797" s="3">
        <v>1075.0899999999999</v>
      </c>
      <c r="D1797" s="3">
        <v>1064.76</v>
      </c>
      <c r="E1797" s="3">
        <v>1785</v>
      </c>
      <c r="F1797" s="5">
        <v>0</v>
      </c>
    </row>
    <row r="1798" spans="1:6" ht="15" customHeight="1" x14ac:dyDescent="0.25">
      <c r="A1798" s="2" t="s">
        <v>1317</v>
      </c>
      <c r="B1798" s="2" t="s">
        <v>577</v>
      </c>
      <c r="C1798" s="3">
        <v>235.67</v>
      </c>
      <c r="D1798" s="3">
        <v>70.739999999999995</v>
      </c>
      <c r="E1798" s="3">
        <v>197.26</v>
      </c>
      <c r="F1798" s="5">
        <v>0</v>
      </c>
    </row>
    <row r="1799" spans="1:6" ht="15" customHeight="1" x14ac:dyDescent="0.25">
      <c r="A1799" s="2" t="s">
        <v>1318</v>
      </c>
      <c r="B1799" s="2" t="s">
        <v>579</v>
      </c>
      <c r="C1799" s="3">
        <v>1482.42</v>
      </c>
      <c r="D1799" s="3">
        <v>480.56</v>
      </c>
      <c r="E1799" s="3">
        <v>937.47</v>
      </c>
      <c r="F1799" s="5">
        <v>0</v>
      </c>
    </row>
    <row r="1800" spans="1:6" ht="15" customHeight="1" x14ac:dyDescent="0.25">
      <c r="A1800" s="2" t="s">
        <v>1319</v>
      </c>
      <c r="B1800" s="2" t="s">
        <v>581</v>
      </c>
      <c r="C1800" s="3">
        <v>841.16</v>
      </c>
      <c r="D1800" s="3">
        <v>313.08999999999997</v>
      </c>
      <c r="E1800" s="3">
        <v>599.21</v>
      </c>
      <c r="F1800" s="5">
        <v>0</v>
      </c>
    </row>
    <row r="1801" spans="1:6" ht="15" customHeight="1" x14ac:dyDescent="0.25">
      <c r="A1801" s="2" t="s">
        <v>1320</v>
      </c>
      <c r="B1801" s="2" t="s">
        <v>458</v>
      </c>
      <c r="C1801" s="3">
        <v>1104.18</v>
      </c>
      <c r="D1801" s="3">
        <v>258.31</v>
      </c>
      <c r="E1801" s="3">
        <v>1042.1600000000001</v>
      </c>
      <c r="F1801" s="5">
        <v>0</v>
      </c>
    </row>
    <row r="1802" spans="1:6" ht="15" customHeight="1" x14ac:dyDescent="0.25">
      <c r="A1802" s="2" t="s">
        <v>1321</v>
      </c>
      <c r="B1802" s="2" t="s">
        <v>585</v>
      </c>
      <c r="C1802" s="3">
        <v>315</v>
      </c>
      <c r="D1802" s="3">
        <v>0</v>
      </c>
      <c r="E1802" s="3">
        <v>80</v>
      </c>
      <c r="F1802" s="5">
        <v>0</v>
      </c>
    </row>
    <row r="1803" spans="1:6" ht="15" customHeight="1" x14ac:dyDescent="0.25">
      <c r="A1803" s="2" t="s">
        <v>1322</v>
      </c>
      <c r="B1803" s="2" t="s">
        <v>1323</v>
      </c>
      <c r="C1803" s="3">
        <v>120556.22</v>
      </c>
      <c r="D1803" s="3">
        <v>40091.1</v>
      </c>
      <c r="E1803" s="3">
        <v>125000</v>
      </c>
      <c r="F1803" s="5">
        <v>0</v>
      </c>
    </row>
    <row r="1804" spans="1:6" ht="15" customHeight="1" x14ac:dyDescent="0.25">
      <c r="A1804" s="2" t="s">
        <v>1324</v>
      </c>
      <c r="B1804" s="2" t="s">
        <v>1325</v>
      </c>
      <c r="C1804" s="3">
        <v>0</v>
      </c>
      <c r="D1804" s="3">
        <v>0</v>
      </c>
      <c r="E1804" s="3">
        <v>6000</v>
      </c>
      <c r="F1804" s="5">
        <v>0</v>
      </c>
    </row>
    <row r="1805" spans="1:6" ht="15" customHeight="1" x14ac:dyDescent="0.25">
      <c r="A1805" s="2" t="s">
        <v>1326</v>
      </c>
      <c r="B1805" s="2" t="s">
        <v>1327</v>
      </c>
      <c r="C1805" s="3">
        <v>3792.68</v>
      </c>
      <c r="D1805" s="3">
        <v>3439.7</v>
      </c>
      <c r="E1805" s="3">
        <v>5000</v>
      </c>
      <c r="F1805" s="5">
        <v>0</v>
      </c>
    </row>
    <row r="1806" spans="1:6" ht="15" customHeight="1" x14ac:dyDescent="0.25">
      <c r="A1806" s="2" t="s">
        <v>1328</v>
      </c>
      <c r="B1806" s="2" t="s">
        <v>940</v>
      </c>
      <c r="C1806" s="3">
        <v>2323.2399999999998</v>
      </c>
      <c r="D1806" s="3">
        <v>477.14</v>
      </c>
      <c r="E1806" s="3">
        <v>7500</v>
      </c>
      <c r="F1806" s="5">
        <v>0</v>
      </c>
    </row>
    <row r="1807" spans="1:6" x14ac:dyDescent="0.25">
      <c r="A1807" s="2" t="s">
        <v>1329</v>
      </c>
      <c r="B1807" s="2" t="s">
        <v>1330</v>
      </c>
      <c r="C1807" s="3">
        <v>5322.31</v>
      </c>
      <c r="D1807" s="3">
        <v>223.81</v>
      </c>
      <c r="E1807" s="3">
        <v>8000</v>
      </c>
      <c r="F1807" s="5">
        <v>0</v>
      </c>
    </row>
    <row r="1808" spans="1:6" ht="15" customHeight="1" x14ac:dyDescent="0.25">
      <c r="A1808" s="2" t="s">
        <v>1331</v>
      </c>
      <c r="B1808" s="2" t="s">
        <v>59</v>
      </c>
      <c r="C1808" s="3">
        <v>0</v>
      </c>
      <c r="D1808" s="3">
        <v>0</v>
      </c>
      <c r="E1808" s="3">
        <v>0</v>
      </c>
      <c r="F1808" s="5">
        <v>0</v>
      </c>
    </row>
    <row r="1809" spans="1:6" ht="15" customHeight="1" x14ac:dyDescent="0.25">
      <c r="A1809" s="2" t="s">
        <v>1332</v>
      </c>
      <c r="B1809" s="2" t="s">
        <v>17</v>
      </c>
      <c r="C1809" s="3">
        <v>0</v>
      </c>
      <c r="D1809" s="3">
        <v>0</v>
      </c>
      <c r="E1809" s="3">
        <v>0</v>
      </c>
      <c r="F1809" s="5">
        <v>0</v>
      </c>
    </row>
    <row r="1810" spans="1:6" ht="15" customHeight="1" x14ac:dyDescent="0.25">
      <c r="A1810" s="2" t="s">
        <v>1333</v>
      </c>
      <c r="B1810" s="2" t="s">
        <v>947</v>
      </c>
      <c r="C1810" s="3">
        <v>178.08</v>
      </c>
      <c r="D1810" s="3">
        <v>0</v>
      </c>
      <c r="E1810" s="3">
        <v>0</v>
      </c>
      <c r="F1810" s="5">
        <v>0</v>
      </c>
    </row>
    <row r="1811" spans="1:6" ht="15" customHeight="1" x14ac:dyDescent="0.25">
      <c r="A1811" s="2" t="s">
        <v>1334</v>
      </c>
      <c r="B1811" s="2" t="s">
        <v>64</v>
      </c>
      <c r="C1811" s="3">
        <v>104.67</v>
      </c>
      <c r="D1811" s="3">
        <v>0</v>
      </c>
      <c r="E1811" s="3">
        <v>2000</v>
      </c>
      <c r="F1811" s="5">
        <v>0</v>
      </c>
    </row>
    <row r="1812" spans="1:6" ht="15" customHeight="1" x14ac:dyDescent="0.25">
      <c r="A1812" s="2" t="s">
        <v>1335</v>
      </c>
      <c r="B1812" s="2" t="s">
        <v>956</v>
      </c>
      <c r="C1812" s="3">
        <v>168</v>
      </c>
      <c r="D1812" s="3">
        <v>52.02</v>
      </c>
      <c r="E1812" s="3">
        <v>2500</v>
      </c>
      <c r="F1812" s="5">
        <v>0</v>
      </c>
    </row>
    <row r="1813" spans="1:6" ht="15" customHeight="1" x14ac:dyDescent="0.25">
      <c r="A1813" s="1" t="s">
        <v>1336</v>
      </c>
      <c r="B1813" s="1" t="s">
        <v>2</v>
      </c>
      <c r="C1813" s="4">
        <v>461277.13</v>
      </c>
      <c r="D1813" s="4">
        <v>208849.24</v>
      </c>
      <c r="E1813" s="6">
        <f>SUM(E1789:E1812)</f>
        <v>597500.98</v>
      </c>
      <c r="F1813" s="6">
        <f>SUM(F1789:F1812)</f>
        <v>0</v>
      </c>
    </row>
    <row r="1814" spans="1:6" x14ac:dyDescent="0.25">
      <c r="A1814" s="1" t="s">
        <v>2</v>
      </c>
      <c r="B1814" s="1" t="s">
        <v>2</v>
      </c>
      <c r="C1814" s="1" t="s">
        <v>2</v>
      </c>
      <c r="D1814" s="1" t="s">
        <v>2</v>
      </c>
      <c r="E1814" s="1" t="s">
        <v>2</v>
      </c>
      <c r="F1814" s="1" t="s">
        <v>2</v>
      </c>
    </row>
    <row r="1815" spans="1:6" ht="15" customHeight="1" x14ac:dyDescent="0.25">
      <c r="A1815" s="1" t="s">
        <v>1337</v>
      </c>
      <c r="B1815" s="1" t="s">
        <v>2</v>
      </c>
    </row>
    <row r="1816" spans="1:6" ht="15" customHeight="1" x14ac:dyDescent="0.25">
      <c r="A1816" s="2" t="s">
        <v>1338</v>
      </c>
      <c r="B1816" s="2" t="s">
        <v>786</v>
      </c>
      <c r="C1816" s="3">
        <v>26705.3</v>
      </c>
      <c r="D1816" s="3">
        <v>13902.12</v>
      </c>
      <c r="E1816" s="3">
        <v>0</v>
      </c>
      <c r="F1816" s="5">
        <v>0</v>
      </c>
    </row>
    <row r="1817" spans="1:6" ht="15" customHeight="1" x14ac:dyDescent="0.25">
      <c r="A1817" s="2" t="s">
        <v>1339</v>
      </c>
      <c r="B1817" s="2" t="s">
        <v>108</v>
      </c>
      <c r="C1817" s="3">
        <v>217953.64</v>
      </c>
      <c r="D1817" s="3">
        <v>101871.95</v>
      </c>
      <c r="E1817" s="3">
        <v>258550.04</v>
      </c>
      <c r="F1817" s="5">
        <v>0</v>
      </c>
    </row>
    <row r="1818" spans="1:6" ht="15" customHeight="1" x14ac:dyDescent="0.25">
      <c r="A1818" s="2" t="s">
        <v>1340</v>
      </c>
      <c r="B1818" s="2" t="s">
        <v>1341</v>
      </c>
      <c r="C1818" s="3">
        <v>0</v>
      </c>
      <c r="D1818" s="3">
        <v>0</v>
      </c>
      <c r="E1818" s="3">
        <v>3944</v>
      </c>
      <c r="F1818" s="5">
        <v>0</v>
      </c>
    </row>
    <row r="1819" spans="1:6" ht="15" customHeight="1" x14ac:dyDescent="0.25">
      <c r="A1819" s="2" t="s">
        <v>1342</v>
      </c>
      <c r="B1819" s="2" t="s">
        <v>29</v>
      </c>
      <c r="C1819" s="3">
        <v>58188.52</v>
      </c>
      <c r="D1819" s="3">
        <v>29295.79</v>
      </c>
      <c r="E1819" s="3">
        <v>67370.98</v>
      </c>
      <c r="F1819" s="5">
        <v>0</v>
      </c>
    </row>
    <row r="1820" spans="1:6" ht="15" customHeight="1" x14ac:dyDescent="0.25">
      <c r="A1820" s="2" t="s">
        <v>1343</v>
      </c>
      <c r="B1820" s="2" t="s">
        <v>128</v>
      </c>
      <c r="C1820" s="3">
        <v>4875.58</v>
      </c>
      <c r="D1820" s="3">
        <v>1674.8</v>
      </c>
      <c r="E1820" s="3">
        <v>6904.1</v>
      </c>
      <c r="F1820" s="5">
        <v>0</v>
      </c>
    </row>
    <row r="1821" spans="1:6" ht="15" customHeight="1" x14ac:dyDescent="0.25">
      <c r="A1821" s="2" t="s">
        <v>1344</v>
      </c>
      <c r="B1821" s="2" t="s">
        <v>33</v>
      </c>
      <c r="C1821" s="3">
        <v>24379.96</v>
      </c>
      <c r="D1821" s="3">
        <v>10295.18</v>
      </c>
      <c r="E1821" s="3">
        <v>30904.18</v>
      </c>
      <c r="F1821" s="5">
        <v>0</v>
      </c>
    </row>
    <row r="1822" spans="1:6" ht="15" customHeight="1" x14ac:dyDescent="0.25">
      <c r="A1822" s="2" t="s">
        <v>1345</v>
      </c>
      <c r="B1822" s="2" t="s">
        <v>11</v>
      </c>
      <c r="C1822" s="3">
        <v>16450.84</v>
      </c>
      <c r="D1822" s="3">
        <v>7685.59</v>
      </c>
      <c r="E1822" s="3">
        <v>20080.79</v>
      </c>
      <c r="F1822" s="5">
        <v>0</v>
      </c>
    </row>
    <row r="1823" spans="1:6" ht="15" customHeight="1" x14ac:dyDescent="0.25">
      <c r="A1823" s="2" t="s">
        <v>1346</v>
      </c>
      <c r="B1823" s="2" t="s">
        <v>1347</v>
      </c>
      <c r="C1823" s="3">
        <v>3921.79</v>
      </c>
      <c r="D1823" s="3">
        <v>1668.58</v>
      </c>
      <c r="E1823" s="3">
        <v>0</v>
      </c>
      <c r="F1823" s="5">
        <v>0</v>
      </c>
    </row>
    <row r="1824" spans="1:6" ht="15" customHeight="1" x14ac:dyDescent="0.25">
      <c r="A1824" s="2" t="s">
        <v>1348</v>
      </c>
      <c r="B1824" s="2" t="s">
        <v>13</v>
      </c>
      <c r="C1824" s="3">
        <v>358.99</v>
      </c>
      <c r="D1824" s="3">
        <v>247.12</v>
      </c>
      <c r="E1824" s="3">
        <v>385.87</v>
      </c>
      <c r="F1824" s="5">
        <v>0</v>
      </c>
    </row>
    <row r="1825" spans="1:6" ht="15" customHeight="1" x14ac:dyDescent="0.25">
      <c r="A1825" s="2" t="s">
        <v>1349</v>
      </c>
      <c r="B1825" s="2" t="s">
        <v>577</v>
      </c>
      <c r="C1825" s="3">
        <v>505</v>
      </c>
      <c r="D1825" s="3">
        <v>206.46</v>
      </c>
      <c r="E1825" s="3">
        <v>0</v>
      </c>
      <c r="F1825" s="5">
        <v>0</v>
      </c>
    </row>
    <row r="1826" spans="1:6" ht="15" customHeight="1" x14ac:dyDescent="0.25">
      <c r="A1826" s="2" t="s">
        <v>1350</v>
      </c>
      <c r="B1826" s="2" t="s">
        <v>579</v>
      </c>
      <c r="C1826" s="3">
        <v>3526.39</v>
      </c>
      <c r="D1826" s="3">
        <v>1667.85</v>
      </c>
      <c r="E1826" s="3">
        <v>0</v>
      </c>
      <c r="F1826" s="5">
        <v>0</v>
      </c>
    </row>
    <row r="1827" spans="1:6" ht="15" customHeight="1" x14ac:dyDescent="0.25">
      <c r="A1827" s="2" t="s">
        <v>1351</v>
      </c>
      <c r="B1827" s="2" t="s">
        <v>581</v>
      </c>
      <c r="C1827" s="3">
        <v>2021.08</v>
      </c>
      <c r="D1827" s="3">
        <v>1049.18</v>
      </c>
      <c r="E1827" s="3">
        <v>0</v>
      </c>
      <c r="F1827" s="5">
        <v>0</v>
      </c>
    </row>
    <row r="1828" spans="1:6" ht="15" customHeight="1" x14ac:dyDescent="0.25">
      <c r="A1828" s="2" t="s">
        <v>1352</v>
      </c>
      <c r="B1828" s="2" t="s">
        <v>458</v>
      </c>
      <c r="C1828" s="3">
        <v>789.9</v>
      </c>
      <c r="D1828" s="3">
        <v>268.70999999999998</v>
      </c>
      <c r="E1828" s="3">
        <v>825</v>
      </c>
      <c r="F1828" s="5">
        <v>0</v>
      </c>
    </row>
    <row r="1829" spans="1:6" ht="15" customHeight="1" x14ac:dyDescent="0.25">
      <c r="A1829" s="2" t="s">
        <v>1353</v>
      </c>
      <c r="B1829" s="2" t="s">
        <v>1354</v>
      </c>
      <c r="C1829" s="3">
        <v>64133.95</v>
      </c>
      <c r="D1829" s="3">
        <v>15430.79</v>
      </c>
      <c r="E1829" s="3">
        <v>55000</v>
      </c>
      <c r="F1829" s="5">
        <v>0</v>
      </c>
    </row>
    <row r="1830" spans="1:6" ht="15" customHeight="1" x14ac:dyDescent="0.25">
      <c r="A1830" s="2" t="s">
        <v>1355</v>
      </c>
      <c r="B1830" s="2" t="s">
        <v>1356</v>
      </c>
      <c r="C1830" s="3">
        <v>483.28</v>
      </c>
      <c r="D1830" s="3">
        <v>57.64</v>
      </c>
      <c r="E1830" s="3">
        <v>3000</v>
      </c>
      <c r="F1830" s="5">
        <v>0</v>
      </c>
    </row>
    <row r="1831" spans="1:6" ht="15" customHeight="1" x14ac:dyDescent="0.25">
      <c r="A1831" s="2" t="s">
        <v>1357</v>
      </c>
      <c r="B1831" s="2" t="s">
        <v>1358</v>
      </c>
      <c r="C1831" s="3">
        <v>5155.9799999999996</v>
      </c>
      <c r="D1831" s="3">
        <v>3394.97</v>
      </c>
      <c r="E1831" s="3">
        <v>10000</v>
      </c>
      <c r="F1831" s="5">
        <v>0</v>
      </c>
    </row>
    <row r="1832" spans="1:6" x14ac:dyDescent="0.25">
      <c r="A1832" s="2" t="s">
        <v>1359</v>
      </c>
      <c r="B1832" s="2" t="s">
        <v>1360</v>
      </c>
      <c r="C1832" s="3">
        <v>6390.47</v>
      </c>
      <c r="D1832" s="3">
        <v>8279.68</v>
      </c>
      <c r="E1832" s="3">
        <v>15000</v>
      </c>
      <c r="F1832" s="5">
        <v>0</v>
      </c>
    </row>
    <row r="1833" spans="1:6" ht="15" customHeight="1" x14ac:dyDescent="0.25">
      <c r="A1833" s="2" t="s">
        <v>1361</v>
      </c>
      <c r="B1833" s="2" t="s">
        <v>1362</v>
      </c>
      <c r="C1833" s="3">
        <v>54787.66</v>
      </c>
      <c r="D1833" s="3">
        <v>48218.38</v>
      </c>
      <c r="E1833" s="3">
        <v>120000</v>
      </c>
      <c r="F1833" s="5">
        <v>0</v>
      </c>
    </row>
    <row r="1834" spans="1:6" ht="15" customHeight="1" x14ac:dyDescent="0.25">
      <c r="A1834" s="2" t="s">
        <v>1363</v>
      </c>
      <c r="B1834" s="2" t="s">
        <v>1364</v>
      </c>
      <c r="C1834" s="3">
        <v>0</v>
      </c>
      <c r="D1834" s="3">
        <v>0</v>
      </c>
      <c r="E1834" s="3">
        <v>25000</v>
      </c>
      <c r="F1834" s="5">
        <v>0</v>
      </c>
    </row>
    <row r="1835" spans="1:6" ht="15" customHeight="1" x14ac:dyDescent="0.25">
      <c r="A1835" s="2" t="s">
        <v>1365</v>
      </c>
      <c r="B1835" s="2" t="s">
        <v>1366</v>
      </c>
      <c r="C1835" s="3">
        <v>0</v>
      </c>
      <c r="D1835" s="3">
        <v>0</v>
      </c>
      <c r="E1835" s="3">
        <v>50000</v>
      </c>
      <c r="F1835" s="5">
        <v>0</v>
      </c>
    </row>
    <row r="1836" spans="1:6" ht="15" customHeight="1" x14ac:dyDescent="0.25">
      <c r="A1836" s="2" t="s">
        <v>1367</v>
      </c>
      <c r="B1836" s="2" t="s">
        <v>1368</v>
      </c>
      <c r="C1836" s="3">
        <v>10661</v>
      </c>
      <c r="D1836" s="3">
        <v>2163</v>
      </c>
      <c r="E1836" s="3">
        <v>20000</v>
      </c>
      <c r="F1836" s="5">
        <v>0</v>
      </c>
    </row>
    <row r="1837" spans="1:6" ht="15" customHeight="1" x14ac:dyDescent="0.25">
      <c r="A1837" s="2" t="s">
        <v>1369</v>
      </c>
      <c r="B1837" s="2" t="s">
        <v>1370</v>
      </c>
      <c r="C1837" s="3">
        <v>3793.63</v>
      </c>
      <c r="D1837" s="3">
        <v>893.03</v>
      </c>
      <c r="E1837" s="3">
        <v>3000</v>
      </c>
      <c r="F1837" s="5">
        <v>0</v>
      </c>
    </row>
    <row r="1838" spans="1:6" x14ac:dyDescent="0.25">
      <c r="A1838" s="2" t="s">
        <v>1371</v>
      </c>
      <c r="B1838" s="2" t="s">
        <v>1372</v>
      </c>
      <c r="C1838" s="3">
        <v>54913.75</v>
      </c>
      <c r="D1838" s="3">
        <v>16566.82</v>
      </c>
      <c r="E1838" s="3">
        <v>120000</v>
      </c>
      <c r="F1838" s="5">
        <v>0</v>
      </c>
    </row>
    <row r="1839" spans="1:6" ht="15" customHeight="1" x14ac:dyDescent="0.25">
      <c r="A1839" s="2" t="s">
        <v>1373</v>
      </c>
      <c r="B1839" s="2" t="s">
        <v>604</v>
      </c>
      <c r="C1839" s="3">
        <v>877.47</v>
      </c>
      <c r="D1839" s="3">
        <v>0</v>
      </c>
      <c r="E1839" s="3">
        <v>0</v>
      </c>
      <c r="F1839" s="5">
        <v>0</v>
      </c>
    </row>
    <row r="1840" spans="1:6" ht="15" customHeight="1" x14ac:dyDescent="0.25">
      <c r="A1840" s="2" t="s">
        <v>1374</v>
      </c>
      <c r="B1840" s="2" t="s">
        <v>1375</v>
      </c>
      <c r="C1840" s="3">
        <v>79.97</v>
      </c>
      <c r="D1840" s="3">
        <v>26.12</v>
      </c>
      <c r="E1840" s="3">
        <v>1500</v>
      </c>
      <c r="F1840" s="5">
        <v>0</v>
      </c>
    </row>
    <row r="1841" spans="1:6" ht="15" customHeight="1" x14ac:dyDescent="0.25">
      <c r="A1841" s="2" t="s">
        <v>1376</v>
      </c>
      <c r="B1841" s="2" t="s">
        <v>17</v>
      </c>
      <c r="C1841" s="3">
        <v>318.93</v>
      </c>
      <c r="D1841" s="3">
        <v>0</v>
      </c>
      <c r="E1841" s="3">
        <v>2000</v>
      </c>
      <c r="F1841" s="5">
        <v>0</v>
      </c>
    </row>
    <row r="1842" spans="1:6" ht="15" customHeight="1" x14ac:dyDescent="0.25">
      <c r="A1842" s="2" t="s">
        <v>1377</v>
      </c>
      <c r="B1842" s="2" t="s">
        <v>305</v>
      </c>
      <c r="C1842" s="3">
        <v>185683.81</v>
      </c>
      <c r="D1842" s="3">
        <v>69242.02</v>
      </c>
      <c r="E1842" s="3">
        <v>165000</v>
      </c>
      <c r="F1842" s="5">
        <v>0</v>
      </c>
    </row>
    <row r="1843" spans="1:6" ht="15" customHeight="1" x14ac:dyDescent="0.25">
      <c r="A1843" s="2" t="s">
        <v>1378</v>
      </c>
      <c r="B1843" s="2" t="s">
        <v>1379</v>
      </c>
      <c r="C1843" s="3">
        <v>403.38</v>
      </c>
      <c r="D1843" s="3">
        <v>142.12</v>
      </c>
      <c r="E1843" s="3">
        <v>400</v>
      </c>
      <c r="F1843" s="5">
        <v>0</v>
      </c>
    </row>
    <row r="1844" spans="1:6" ht="15" customHeight="1" x14ac:dyDescent="0.25">
      <c r="A1844" s="2" t="s">
        <v>1380</v>
      </c>
      <c r="B1844" s="2" t="s">
        <v>1381</v>
      </c>
      <c r="C1844" s="3">
        <v>165.36</v>
      </c>
      <c r="D1844" s="3">
        <v>55.12</v>
      </c>
      <c r="E1844" s="3">
        <v>200</v>
      </c>
      <c r="F1844" s="5">
        <v>0</v>
      </c>
    </row>
    <row r="1845" spans="1:6" ht="15" customHeight="1" x14ac:dyDescent="0.25">
      <c r="A1845" s="2" t="s">
        <v>1382</v>
      </c>
      <c r="B1845" s="2" t="s">
        <v>947</v>
      </c>
      <c r="C1845" s="3">
        <v>372.98</v>
      </c>
      <c r="D1845" s="3">
        <v>151.58000000000001</v>
      </c>
      <c r="E1845" s="3">
        <v>1500</v>
      </c>
      <c r="F1845" s="5">
        <v>0</v>
      </c>
    </row>
    <row r="1846" spans="1:6" x14ac:dyDescent="0.25">
      <c r="A1846" s="2" t="s">
        <v>1383</v>
      </c>
      <c r="B1846" s="2" t="s">
        <v>1384</v>
      </c>
      <c r="C1846" s="3">
        <v>31310.2</v>
      </c>
      <c r="D1846" s="3">
        <v>7180.84</v>
      </c>
      <c r="E1846" s="3">
        <v>12000</v>
      </c>
      <c r="F1846" s="5">
        <v>0</v>
      </c>
    </row>
    <row r="1847" spans="1:6" ht="15" customHeight="1" x14ac:dyDescent="0.25">
      <c r="A1847" s="2" t="s">
        <v>1385</v>
      </c>
      <c r="B1847" s="2" t="s">
        <v>64</v>
      </c>
      <c r="C1847" s="3">
        <v>2154.66</v>
      </c>
      <c r="D1847" s="3">
        <v>995.3</v>
      </c>
      <c r="E1847" s="3">
        <v>2500</v>
      </c>
      <c r="F1847" s="5">
        <v>0</v>
      </c>
    </row>
    <row r="1848" spans="1:6" ht="15" customHeight="1" x14ac:dyDescent="0.25">
      <c r="A1848" s="2" t="s">
        <v>1386</v>
      </c>
      <c r="B1848" s="2" t="s">
        <v>624</v>
      </c>
      <c r="C1848" s="3">
        <v>851.7</v>
      </c>
      <c r="D1848" s="3">
        <v>441.86</v>
      </c>
      <c r="E1848" s="3">
        <v>2000</v>
      </c>
      <c r="F1848" s="5">
        <v>0</v>
      </c>
    </row>
    <row r="1849" spans="1:6" ht="15" customHeight="1" x14ac:dyDescent="0.25">
      <c r="A1849" s="2" t="s">
        <v>1387</v>
      </c>
      <c r="B1849" s="2" t="s">
        <v>1388</v>
      </c>
      <c r="C1849" s="3">
        <v>1972.8</v>
      </c>
      <c r="D1849" s="3">
        <v>79</v>
      </c>
      <c r="E1849" s="3">
        <v>2500</v>
      </c>
      <c r="F1849" s="5">
        <v>0</v>
      </c>
    </row>
    <row r="1850" spans="1:6" ht="15" customHeight="1" x14ac:dyDescent="0.25">
      <c r="A1850" s="2" t="s">
        <v>1389</v>
      </c>
      <c r="B1850" s="2" t="s">
        <v>1390</v>
      </c>
      <c r="C1850" s="3">
        <v>9607.2000000000007</v>
      </c>
      <c r="D1850" s="3">
        <v>7553.29</v>
      </c>
      <c r="E1850" s="3">
        <v>8000</v>
      </c>
      <c r="F1850" s="5">
        <v>0</v>
      </c>
    </row>
    <row r="1851" spans="1:6" ht="15" customHeight="1" x14ac:dyDescent="0.25">
      <c r="A1851" s="1" t="s">
        <v>1391</v>
      </c>
      <c r="B1851" s="1" t="s">
        <v>2</v>
      </c>
      <c r="C1851" s="4">
        <v>793795.17</v>
      </c>
      <c r="D1851" s="4">
        <v>350704.89</v>
      </c>
      <c r="E1851" s="6">
        <f>SUM(E1816:E1850)</f>
        <v>1007564.96</v>
      </c>
      <c r="F1851" s="6">
        <f>SUM(F1816:F1850)</f>
        <v>0</v>
      </c>
    </row>
    <row r="1852" spans="1:6" x14ac:dyDescent="0.25">
      <c r="A1852" s="2" t="s">
        <v>2</v>
      </c>
      <c r="B1852" s="2" t="s">
        <v>2</v>
      </c>
      <c r="C1852" s="2" t="s">
        <v>2</v>
      </c>
      <c r="D1852" s="2" t="s">
        <v>2</v>
      </c>
      <c r="E1852" s="2" t="s">
        <v>2</v>
      </c>
      <c r="F1852" s="2" t="s">
        <v>2</v>
      </c>
    </row>
    <row r="1853" spans="1:6" ht="15" customHeight="1" x14ac:dyDescent="0.25">
      <c r="A1853" s="2" t="s">
        <v>1392</v>
      </c>
      <c r="B1853" s="2" t="s">
        <v>1393</v>
      </c>
      <c r="C1853" s="3">
        <v>0</v>
      </c>
      <c r="D1853" s="3">
        <v>0</v>
      </c>
      <c r="E1853" s="3">
        <v>0</v>
      </c>
      <c r="F1853" s="5">
        <v>0</v>
      </c>
    </row>
    <row r="1854" spans="1:6" ht="15" customHeight="1" x14ac:dyDescent="0.25">
      <c r="A1854" s="2"/>
      <c r="B1854" s="2"/>
      <c r="C1854" s="3"/>
      <c r="D1854" s="3"/>
      <c r="E1854" s="3"/>
      <c r="F1854" s="5"/>
    </row>
    <row r="1855" spans="1:6" ht="15" customHeight="1" x14ac:dyDescent="0.25">
      <c r="A1855" s="1" t="s">
        <v>557</v>
      </c>
      <c r="B1855" s="1" t="s">
        <v>2</v>
      </c>
    </row>
    <row r="1856" spans="1:6" x14ac:dyDescent="0.25">
      <c r="A1856" s="2" t="s">
        <v>1394</v>
      </c>
      <c r="B1856" s="2" t="s">
        <v>1395</v>
      </c>
      <c r="C1856" s="3">
        <v>90.53</v>
      </c>
      <c r="D1856" s="3">
        <v>0</v>
      </c>
      <c r="E1856" s="3">
        <v>0</v>
      </c>
      <c r="F1856" s="5">
        <v>0</v>
      </c>
    </row>
    <row r="1857" spans="1:6" x14ac:dyDescent="0.25">
      <c r="A1857" s="2" t="s">
        <v>1396</v>
      </c>
      <c r="B1857" s="2" t="s">
        <v>1397</v>
      </c>
      <c r="C1857" s="3">
        <v>270</v>
      </c>
      <c r="D1857" s="3">
        <v>2693</v>
      </c>
      <c r="E1857" s="3">
        <v>450000</v>
      </c>
      <c r="F1857" s="5">
        <v>0</v>
      </c>
    </row>
    <row r="1858" spans="1:6" x14ac:dyDescent="0.25">
      <c r="A1858" s="2" t="s">
        <v>1398</v>
      </c>
      <c r="B1858" s="2" t="s">
        <v>1399</v>
      </c>
      <c r="C1858" s="3">
        <v>0</v>
      </c>
      <c r="D1858" s="3">
        <v>0</v>
      </c>
      <c r="E1858" s="3">
        <v>0</v>
      </c>
      <c r="F1858" s="5">
        <v>0</v>
      </c>
    </row>
    <row r="1859" spans="1:6" ht="15" customHeight="1" x14ac:dyDescent="0.25">
      <c r="A1859" s="2" t="s">
        <v>1400</v>
      </c>
      <c r="B1859" s="2" t="s">
        <v>850</v>
      </c>
      <c r="C1859" s="3">
        <v>0</v>
      </c>
      <c r="D1859" s="3">
        <v>0</v>
      </c>
      <c r="E1859" s="3">
        <v>0</v>
      </c>
      <c r="F1859" s="5">
        <v>0</v>
      </c>
    </row>
    <row r="1860" spans="1:6" ht="15" customHeight="1" x14ac:dyDescent="0.25">
      <c r="A1860" s="2" t="s">
        <v>1401</v>
      </c>
      <c r="B1860" s="2" t="s">
        <v>1402</v>
      </c>
      <c r="C1860" s="3">
        <v>0</v>
      </c>
      <c r="D1860" s="3">
        <v>0</v>
      </c>
      <c r="E1860" s="3">
        <v>0</v>
      </c>
      <c r="F1860" s="5">
        <v>0</v>
      </c>
    </row>
    <row r="1861" spans="1:6" ht="15" customHeight="1" x14ac:dyDescent="0.25">
      <c r="A1861" s="2" t="s">
        <v>1403</v>
      </c>
      <c r="B1861" s="2" t="s">
        <v>1404</v>
      </c>
      <c r="C1861" s="3">
        <v>0</v>
      </c>
      <c r="D1861" s="3">
        <v>0</v>
      </c>
      <c r="E1861" s="3">
        <v>0</v>
      </c>
      <c r="F1861" s="5">
        <v>0</v>
      </c>
    </row>
    <row r="1862" spans="1:6" x14ac:dyDescent="0.25">
      <c r="A1862" s="2" t="s">
        <v>1405</v>
      </c>
      <c r="B1862" s="2" t="s">
        <v>1406</v>
      </c>
      <c r="C1862" s="3">
        <v>0</v>
      </c>
      <c r="D1862" s="3">
        <v>0</v>
      </c>
      <c r="E1862" s="3">
        <v>0</v>
      </c>
      <c r="F1862" s="5">
        <v>0</v>
      </c>
    </row>
    <row r="1863" spans="1:6" ht="15" customHeight="1" x14ac:dyDescent="0.25">
      <c r="A1863" s="2" t="s">
        <v>1407</v>
      </c>
      <c r="B1863" s="2" t="s">
        <v>1408</v>
      </c>
      <c r="C1863" s="3">
        <v>0</v>
      </c>
      <c r="D1863" s="3">
        <v>0</v>
      </c>
      <c r="E1863" s="3">
        <v>0</v>
      </c>
      <c r="F1863" s="5">
        <v>0</v>
      </c>
    </row>
    <row r="1864" spans="1:6" ht="15" customHeight="1" x14ac:dyDescent="0.25">
      <c r="A1864" s="2" t="s">
        <v>1409</v>
      </c>
      <c r="B1864" s="2" t="s">
        <v>1410</v>
      </c>
      <c r="C1864" s="3">
        <v>0</v>
      </c>
      <c r="D1864" s="3">
        <v>0</v>
      </c>
      <c r="E1864" s="3">
        <v>0</v>
      </c>
      <c r="F1864" s="5">
        <v>0</v>
      </c>
    </row>
    <row r="1865" spans="1:6" ht="15" customHeight="1" x14ac:dyDescent="0.25">
      <c r="A1865" s="2" t="s">
        <v>1411</v>
      </c>
      <c r="B1865" s="2" t="s">
        <v>1412</v>
      </c>
      <c r="C1865" s="3">
        <v>0</v>
      </c>
      <c r="D1865" s="3">
        <v>300.27</v>
      </c>
      <c r="E1865" s="3">
        <v>75000</v>
      </c>
      <c r="F1865" s="5">
        <v>0</v>
      </c>
    </row>
    <row r="1866" spans="1:6" ht="15" customHeight="1" x14ac:dyDescent="0.25">
      <c r="A1866" s="2" t="s">
        <v>1413</v>
      </c>
      <c r="B1866" s="2" t="s">
        <v>1414</v>
      </c>
      <c r="C1866" s="3">
        <v>0</v>
      </c>
      <c r="D1866" s="3">
        <v>7333</v>
      </c>
      <c r="E1866" s="3">
        <v>0</v>
      </c>
      <c r="F1866" s="5">
        <v>0</v>
      </c>
    </row>
    <row r="1867" spans="1:6" ht="15" customHeight="1" x14ac:dyDescent="0.25">
      <c r="A1867" s="2" t="s">
        <v>1415</v>
      </c>
      <c r="B1867" s="2" t="s">
        <v>1416</v>
      </c>
      <c r="C1867" s="3">
        <v>0</v>
      </c>
      <c r="D1867" s="3">
        <v>0</v>
      </c>
      <c r="E1867" s="3">
        <v>0</v>
      </c>
      <c r="F1867" s="5">
        <v>0</v>
      </c>
    </row>
    <row r="1868" spans="1:6" ht="15" customHeight="1" x14ac:dyDescent="0.25">
      <c r="A1868" s="2" t="s">
        <v>1417</v>
      </c>
      <c r="B1868" s="2" t="s">
        <v>1418</v>
      </c>
      <c r="C1868" s="3">
        <v>0</v>
      </c>
      <c r="D1868" s="3">
        <v>0</v>
      </c>
      <c r="E1868" s="3">
        <v>50000</v>
      </c>
      <c r="F1868" s="5">
        <v>0</v>
      </c>
    </row>
    <row r="1869" spans="1:6" ht="15" customHeight="1" x14ac:dyDescent="0.25">
      <c r="A1869" s="2" t="s">
        <v>1419</v>
      </c>
      <c r="B1869" s="2" t="s">
        <v>1420</v>
      </c>
      <c r="C1869" s="3">
        <v>0</v>
      </c>
      <c r="D1869" s="3">
        <v>0</v>
      </c>
      <c r="E1869" s="3">
        <v>0</v>
      </c>
      <c r="F1869" s="5">
        <v>0</v>
      </c>
    </row>
    <row r="1870" spans="1:6" ht="15" customHeight="1" x14ac:dyDescent="0.25">
      <c r="A1870" s="2" t="s">
        <v>1421</v>
      </c>
      <c r="B1870" s="2" t="s">
        <v>1422</v>
      </c>
      <c r="C1870" s="3">
        <v>0</v>
      </c>
      <c r="D1870" s="3">
        <v>0</v>
      </c>
      <c r="E1870" s="3">
        <v>0</v>
      </c>
      <c r="F1870" s="5">
        <v>0</v>
      </c>
    </row>
    <row r="1871" spans="1:6" ht="15" customHeight="1" x14ac:dyDescent="0.25">
      <c r="A1871" s="2" t="s">
        <v>1423</v>
      </c>
      <c r="B1871" s="2" t="s">
        <v>1424</v>
      </c>
      <c r="C1871" s="3">
        <v>495.63</v>
      </c>
      <c r="D1871" s="3">
        <v>0</v>
      </c>
      <c r="E1871" s="3">
        <v>0</v>
      </c>
      <c r="F1871" s="5">
        <v>0</v>
      </c>
    </row>
    <row r="1872" spans="1:6" ht="15" customHeight="1" x14ac:dyDescent="0.25">
      <c r="A1872" s="2" t="s">
        <v>1425</v>
      </c>
      <c r="B1872" s="2" t="s">
        <v>1426</v>
      </c>
      <c r="C1872" s="3">
        <v>0</v>
      </c>
      <c r="D1872" s="3">
        <v>0</v>
      </c>
      <c r="E1872" s="3">
        <v>0</v>
      </c>
      <c r="F1872" s="5">
        <v>0</v>
      </c>
    </row>
    <row r="1873" spans="1:6" ht="15" customHeight="1" x14ac:dyDescent="0.25">
      <c r="A1873" s="2" t="s">
        <v>1427</v>
      </c>
      <c r="B1873" s="2" t="s">
        <v>1428</v>
      </c>
      <c r="C1873" s="3">
        <v>41556.53</v>
      </c>
      <c r="D1873" s="3">
        <v>64933</v>
      </c>
      <c r="E1873" s="3">
        <v>0</v>
      </c>
      <c r="F1873" s="5">
        <v>0</v>
      </c>
    </row>
    <row r="1874" spans="1:6" ht="15" customHeight="1" x14ac:dyDescent="0.25">
      <c r="A1874" s="2" t="s">
        <v>1429</v>
      </c>
      <c r="B1874" s="2" t="s">
        <v>1430</v>
      </c>
      <c r="C1874" s="3">
        <v>61292.27</v>
      </c>
      <c r="D1874" s="3">
        <v>0</v>
      </c>
      <c r="E1874" s="3">
        <v>0</v>
      </c>
      <c r="F1874" s="5">
        <v>0</v>
      </c>
    </row>
    <row r="1875" spans="1:6" ht="15" customHeight="1" x14ac:dyDescent="0.25">
      <c r="A1875" s="2" t="s">
        <v>1431</v>
      </c>
      <c r="B1875" s="2" t="s">
        <v>1432</v>
      </c>
      <c r="C1875" s="3">
        <v>0</v>
      </c>
      <c r="D1875" s="3">
        <v>0</v>
      </c>
      <c r="E1875" s="3">
        <v>0</v>
      </c>
      <c r="F1875" s="5">
        <v>0</v>
      </c>
    </row>
    <row r="1876" spans="1:6" ht="15" customHeight="1" x14ac:dyDescent="0.25">
      <c r="A1876" s="2" t="s">
        <v>1433</v>
      </c>
      <c r="B1876" s="2" t="s">
        <v>1434</v>
      </c>
      <c r="C1876" s="3">
        <v>24600.38</v>
      </c>
      <c r="D1876" s="3">
        <v>12703.34</v>
      </c>
      <c r="E1876" s="3">
        <v>750000</v>
      </c>
      <c r="F1876" s="5">
        <v>0</v>
      </c>
    </row>
    <row r="1877" spans="1:6" ht="15" customHeight="1" x14ac:dyDescent="0.25">
      <c r="A1877" s="2" t="s">
        <v>1435</v>
      </c>
      <c r="B1877" s="2" t="s">
        <v>1436</v>
      </c>
      <c r="C1877" s="3">
        <v>766.26</v>
      </c>
      <c r="D1877" s="3">
        <v>850.09</v>
      </c>
      <c r="E1877" s="3">
        <v>0</v>
      </c>
      <c r="F1877" s="5">
        <v>0</v>
      </c>
    </row>
    <row r="1878" spans="1:6" ht="15" customHeight="1" x14ac:dyDescent="0.25">
      <c r="A1878" s="2" t="s">
        <v>1437</v>
      </c>
      <c r="B1878" s="2" t="s">
        <v>1438</v>
      </c>
      <c r="C1878" s="3">
        <v>0</v>
      </c>
      <c r="D1878" s="3">
        <v>12271.25</v>
      </c>
      <c r="E1878" s="3">
        <v>1250000</v>
      </c>
      <c r="F1878" s="5">
        <v>0</v>
      </c>
    </row>
    <row r="1879" spans="1:6" ht="15" customHeight="1" x14ac:dyDescent="0.25">
      <c r="A1879" s="1" t="s">
        <v>560</v>
      </c>
      <c r="B1879" s="1" t="s">
        <v>2</v>
      </c>
      <c r="C1879" s="4">
        <v>129071.6</v>
      </c>
      <c r="D1879" s="4">
        <v>101083.95</v>
      </c>
      <c r="E1879" s="6">
        <f>SUM(E1856:E1878)</f>
        <v>2575000</v>
      </c>
      <c r="F1879" s="6">
        <f>SUM(F1856:F1878)</f>
        <v>0</v>
      </c>
    </row>
    <row r="1880" spans="1:6" x14ac:dyDescent="0.25">
      <c r="A1880" s="1" t="s">
        <v>2</v>
      </c>
      <c r="B1880" s="1" t="s">
        <v>2</v>
      </c>
      <c r="C1880" s="1" t="s">
        <v>2</v>
      </c>
      <c r="D1880" s="1" t="s">
        <v>2</v>
      </c>
      <c r="E1880" s="1" t="s">
        <v>2</v>
      </c>
      <c r="F1880" s="1" t="s">
        <v>2</v>
      </c>
    </row>
    <row r="1881" spans="1:6" ht="15" customHeight="1" x14ac:dyDescent="0.25">
      <c r="A1881" s="1" t="s">
        <v>706</v>
      </c>
      <c r="B1881" s="1" t="s">
        <v>2</v>
      </c>
    </row>
    <row r="1882" spans="1:6" x14ac:dyDescent="0.25">
      <c r="A1882" s="2" t="s">
        <v>1439</v>
      </c>
      <c r="B1882" s="2" t="s">
        <v>1440</v>
      </c>
      <c r="C1882" s="3">
        <v>373517.74</v>
      </c>
      <c r="D1882" s="3">
        <v>0</v>
      </c>
      <c r="E1882" s="3">
        <v>373548</v>
      </c>
      <c r="F1882" s="5">
        <v>0</v>
      </c>
    </row>
    <row r="1883" spans="1:6" ht="15" customHeight="1" x14ac:dyDescent="0.25">
      <c r="A1883" s="2" t="s">
        <v>1441</v>
      </c>
      <c r="B1883" s="2" t="s">
        <v>1023</v>
      </c>
      <c r="C1883" s="3">
        <v>0</v>
      </c>
      <c r="D1883" s="3">
        <v>0</v>
      </c>
      <c r="E1883" s="3">
        <v>20000</v>
      </c>
      <c r="F1883" s="5">
        <v>0</v>
      </c>
    </row>
    <row r="1884" spans="1:6" ht="15" customHeight="1" x14ac:dyDescent="0.25">
      <c r="A1884" s="2" t="s">
        <v>1442</v>
      </c>
      <c r="B1884" s="2" t="s">
        <v>1027</v>
      </c>
      <c r="C1884" s="3">
        <v>0</v>
      </c>
      <c r="D1884" s="3">
        <v>0</v>
      </c>
      <c r="E1884" s="3">
        <v>10000</v>
      </c>
      <c r="F1884" s="5">
        <v>0</v>
      </c>
    </row>
    <row r="1885" spans="1:6" ht="15" customHeight="1" x14ac:dyDescent="0.25">
      <c r="A1885" s="2" t="s">
        <v>1443</v>
      </c>
      <c r="B1885" s="2" t="s">
        <v>1029</v>
      </c>
      <c r="C1885" s="3">
        <v>0</v>
      </c>
      <c r="D1885" s="3">
        <v>0</v>
      </c>
      <c r="E1885" s="3">
        <v>20000</v>
      </c>
      <c r="F1885" s="5">
        <v>0</v>
      </c>
    </row>
    <row r="1886" spans="1:6" ht="15" customHeight="1" x14ac:dyDescent="0.25">
      <c r="A1886" s="2" t="s">
        <v>1444</v>
      </c>
      <c r="B1886" s="2" t="s">
        <v>1031</v>
      </c>
      <c r="C1886" s="3">
        <v>0</v>
      </c>
      <c r="D1886" s="3">
        <v>0</v>
      </c>
      <c r="E1886" s="3">
        <v>12500</v>
      </c>
      <c r="F1886" s="5">
        <v>0</v>
      </c>
    </row>
    <row r="1887" spans="1:6" ht="15" customHeight="1" x14ac:dyDescent="0.25">
      <c r="A1887" s="2" t="s">
        <v>1445</v>
      </c>
      <c r="B1887" s="2" t="s">
        <v>1033</v>
      </c>
      <c r="C1887" s="3">
        <v>0</v>
      </c>
      <c r="D1887" s="3">
        <v>0</v>
      </c>
      <c r="E1887" s="3">
        <v>47500</v>
      </c>
      <c r="F1887" s="5">
        <v>0</v>
      </c>
    </row>
    <row r="1888" spans="1:6" x14ac:dyDescent="0.25">
      <c r="A1888" s="2" t="s">
        <v>1446</v>
      </c>
      <c r="B1888" s="2" t="s">
        <v>1035</v>
      </c>
      <c r="C1888" s="3">
        <v>0</v>
      </c>
      <c r="D1888" s="3">
        <v>0</v>
      </c>
      <c r="E1888" s="3">
        <v>2500</v>
      </c>
      <c r="F1888" s="5">
        <v>0</v>
      </c>
    </row>
    <row r="1889" spans="1:6" ht="15" customHeight="1" x14ac:dyDescent="0.25">
      <c r="A1889" s="2" t="s">
        <v>1447</v>
      </c>
      <c r="B1889" s="2" t="s">
        <v>1037</v>
      </c>
      <c r="C1889" s="3">
        <v>0</v>
      </c>
      <c r="D1889" s="3">
        <v>0</v>
      </c>
      <c r="E1889" s="3">
        <v>1750</v>
      </c>
      <c r="F1889" s="5">
        <v>0</v>
      </c>
    </row>
    <row r="1890" spans="1:6" ht="15" customHeight="1" x14ac:dyDescent="0.25">
      <c r="A1890" s="2" t="s">
        <v>1448</v>
      </c>
      <c r="B1890" s="2" t="s">
        <v>1007</v>
      </c>
      <c r="C1890" s="3">
        <v>0</v>
      </c>
      <c r="D1890" s="3">
        <v>0</v>
      </c>
      <c r="E1890" s="3">
        <v>0</v>
      </c>
      <c r="F1890" s="5">
        <v>0</v>
      </c>
    </row>
    <row r="1891" spans="1:6" x14ac:dyDescent="0.25">
      <c r="A1891" s="2" t="s">
        <v>1449</v>
      </c>
      <c r="B1891" s="2" t="s">
        <v>1009</v>
      </c>
      <c r="C1891" s="3">
        <v>23850.65</v>
      </c>
      <c r="D1891" s="3">
        <v>0</v>
      </c>
      <c r="E1891" s="3">
        <v>0</v>
      </c>
      <c r="F1891" s="5">
        <v>0</v>
      </c>
    </row>
    <row r="1892" spans="1:6" x14ac:dyDescent="0.25">
      <c r="A1892" s="2" t="s">
        <v>1450</v>
      </c>
      <c r="B1892" s="2" t="s">
        <v>1011</v>
      </c>
      <c r="C1892" s="3">
        <v>0</v>
      </c>
      <c r="D1892" s="3">
        <v>0</v>
      </c>
      <c r="E1892" s="3">
        <v>0</v>
      </c>
      <c r="F1892" s="5">
        <v>0</v>
      </c>
    </row>
    <row r="1893" spans="1:6" ht="15" customHeight="1" x14ac:dyDescent="0.25">
      <c r="A1893" s="2" t="s">
        <v>1451</v>
      </c>
      <c r="B1893" s="2" t="s">
        <v>1013</v>
      </c>
      <c r="C1893" s="3">
        <v>35286.080000000002</v>
      </c>
      <c r="D1893" s="3">
        <v>0</v>
      </c>
      <c r="E1893" s="3">
        <v>0</v>
      </c>
      <c r="F1893" s="5">
        <v>0</v>
      </c>
    </row>
    <row r="1894" spans="1:6" ht="15" customHeight="1" x14ac:dyDescent="0.25">
      <c r="A1894" s="2" t="s">
        <v>1452</v>
      </c>
      <c r="B1894" s="2" t="s">
        <v>1015</v>
      </c>
      <c r="C1894" s="3">
        <v>8581.1200000000008</v>
      </c>
      <c r="D1894" s="3">
        <v>0</v>
      </c>
      <c r="E1894" s="3">
        <v>0</v>
      </c>
      <c r="F1894" s="5">
        <v>0</v>
      </c>
    </row>
    <row r="1895" spans="1:6" ht="15" customHeight="1" x14ac:dyDescent="0.25">
      <c r="A1895" s="2" t="s">
        <v>1453</v>
      </c>
      <c r="B1895" s="2" t="s">
        <v>1017</v>
      </c>
      <c r="C1895" s="3">
        <v>0</v>
      </c>
      <c r="D1895" s="3">
        <v>0</v>
      </c>
      <c r="E1895" s="3">
        <v>0</v>
      </c>
      <c r="F1895" s="5">
        <v>0</v>
      </c>
    </row>
    <row r="1896" spans="1:6" ht="15" customHeight="1" x14ac:dyDescent="0.25">
      <c r="A1896" s="2" t="s">
        <v>1454</v>
      </c>
      <c r="B1896" s="2" t="s">
        <v>1455</v>
      </c>
      <c r="C1896" s="3">
        <v>0</v>
      </c>
      <c r="D1896" s="3">
        <v>0</v>
      </c>
      <c r="E1896" s="3">
        <v>0</v>
      </c>
      <c r="F1896" s="5">
        <v>0</v>
      </c>
    </row>
    <row r="1897" spans="1:6" ht="15" customHeight="1" x14ac:dyDescent="0.25">
      <c r="A1897" s="2" t="s">
        <v>1456</v>
      </c>
      <c r="B1897" s="2" t="s">
        <v>1457</v>
      </c>
      <c r="C1897" s="3">
        <v>74500</v>
      </c>
      <c r="D1897" s="3">
        <v>0</v>
      </c>
      <c r="E1897" s="3">
        <v>81750</v>
      </c>
      <c r="F1897" s="5">
        <v>0</v>
      </c>
    </row>
    <row r="1898" spans="1:6" ht="15" customHeight="1" x14ac:dyDescent="0.25">
      <c r="A1898" s="2" t="s">
        <v>1458</v>
      </c>
      <c r="B1898" s="2" t="s">
        <v>1459</v>
      </c>
      <c r="C1898" s="3">
        <v>13329.77</v>
      </c>
      <c r="D1898" s="3">
        <v>0</v>
      </c>
      <c r="E1898" s="3">
        <v>10370</v>
      </c>
      <c r="F1898" s="5">
        <v>0</v>
      </c>
    </row>
    <row r="1899" spans="1:6" x14ac:dyDescent="0.25">
      <c r="A1899" s="2" t="s">
        <v>1460</v>
      </c>
      <c r="B1899" s="2" t="s">
        <v>1461</v>
      </c>
      <c r="C1899" s="3">
        <v>460114.8</v>
      </c>
      <c r="D1899" s="3">
        <v>0</v>
      </c>
      <c r="E1899" s="3">
        <v>460030</v>
      </c>
      <c r="F1899" s="5">
        <v>0</v>
      </c>
    </row>
    <row r="1900" spans="1:6" ht="15" customHeight="1" x14ac:dyDescent="0.25">
      <c r="A1900" s="1" t="s">
        <v>737</v>
      </c>
      <c r="B1900" s="1" t="s">
        <v>2</v>
      </c>
      <c r="C1900" s="4">
        <v>989180.16</v>
      </c>
      <c r="D1900" s="4">
        <v>0</v>
      </c>
      <c r="E1900" s="6">
        <f>SUM(E1882:E1899)</f>
        <v>1039948</v>
      </c>
      <c r="F1900" s="6">
        <f>SUM(F1882:F1899)</f>
        <v>0</v>
      </c>
    </row>
    <row r="1901" spans="1:6" x14ac:dyDescent="0.25">
      <c r="A1901" s="1" t="s">
        <v>2</v>
      </c>
      <c r="B1901" s="1" t="s">
        <v>2</v>
      </c>
      <c r="C1901" s="1" t="s">
        <v>2</v>
      </c>
      <c r="D1901" s="1" t="s">
        <v>2</v>
      </c>
      <c r="E1901" s="1" t="s">
        <v>2</v>
      </c>
      <c r="F1901" s="1" t="s">
        <v>2</v>
      </c>
    </row>
    <row r="1902" spans="1:6" ht="15" customHeight="1" x14ac:dyDescent="0.25">
      <c r="A1902" s="1" t="s">
        <v>698</v>
      </c>
      <c r="B1902" s="1" t="s">
        <v>2</v>
      </c>
    </row>
    <row r="1903" spans="1:6" ht="15" customHeight="1" x14ac:dyDescent="0.25">
      <c r="A1903" s="2" t="s">
        <v>1462</v>
      </c>
      <c r="B1903" s="2" t="s">
        <v>700</v>
      </c>
      <c r="C1903" s="3">
        <v>743.13</v>
      </c>
      <c r="D1903" s="3">
        <v>3206.32</v>
      </c>
      <c r="E1903" s="3">
        <v>2000</v>
      </c>
      <c r="F1903" s="5">
        <v>0</v>
      </c>
    </row>
    <row r="1904" spans="1:6" ht="15" customHeight="1" x14ac:dyDescent="0.25">
      <c r="A1904" s="2" t="s">
        <v>1463</v>
      </c>
      <c r="B1904" s="2" t="s">
        <v>704</v>
      </c>
      <c r="C1904" s="3">
        <v>4088.79</v>
      </c>
      <c r="D1904" s="3">
        <v>0</v>
      </c>
      <c r="E1904" s="3">
        <v>0</v>
      </c>
      <c r="F1904" s="5">
        <v>0</v>
      </c>
    </row>
    <row r="1905" spans="1:7" ht="15" customHeight="1" x14ac:dyDescent="0.25">
      <c r="A1905" s="1" t="s">
        <v>705</v>
      </c>
      <c r="B1905" s="1" t="s">
        <v>2</v>
      </c>
      <c r="C1905" s="4">
        <v>4831.92</v>
      </c>
      <c r="D1905" s="4">
        <v>3206.32</v>
      </c>
      <c r="E1905" s="6">
        <f>SUM(E1903:E1904)</f>
        <v>2000</v>
      </c>
      <c r="F1905" s="6">
        <f>SUM(F1903:F1904)</f>
        <v>0</v>
      </c>
    </row>
    <row r="1906" spans="1:7" x14ac:dyDescent="0.25">
      <c r="A1906" s="1" t="s">
        <v>2</v>
      </c>
      <c r="B1906" s="1" t="s">
        <v>2</v>
      </c>
      <c r="C1906" s="1" t="s">
        <v>2</v>
      </c>
      <c r="D1906" s="1" t="s">
        <v>2</v>
      </c>
      <c r="E1906" s="1" t="s">
        <v>2</v>
      </c>
      <c r="F1906" s="1" t="s">
        <v>2</v>
      </c>
    </row>
    <row r="1907" spans="1:7" ht="15" customHeight="1" x14ac:dyDescent="0.25">
      <c r="A1907" s="1" t="s">
        <v>556</v>
      </c>
      <c r="B1907" s="1" t="s">
        <v>2</v>
      </c>
    </row>
    <row r="1908" spans="1:7" ht="15" customHeight="1" x14ac:dyDescent="0.25">
      <c r="A1908" s="1" t="s">
        <v>1153</v>
      </c>
      <c r="B1908" s="1" t="s">
        <v>2</v>
      </c>
    </row>
    <row r="1909" spans="1:7" x14ac:dyDescent="0.25">
      <c r="A1909" s="2" t="s">
        <v>1464</v>
      </c>
      <c r="B1909" s="2" t="s">
        <v>1465</v>
      </c>
      <c r="C1909" s="3">
        <v>0</v>
      </c>
      <c r="D1909" s="3">
        <v>0</v>
      </c>
      <c r="E1909" s="3">
        <v>0</v>
      </c>
      <c r="F1909" s="5">
        <v>0</v>
      </c>
    </row>
    <row r="1910" spans="1:7" ht="15" customHeight="1" x14ac:dyDescent="0.25">
      <c r="A1910" s="1" t="s">
        <v>1158</v>
      </c>
      <c r="B1910" s="1" t="s">
        <v>2</v>
      </c>
      <c r="C1910" s="4">
        <v>0</v>
      </c>
      <c r="D1910" s="4">
        <v>0</v>
      </c>
      <c r="E1910" s="6">
        <f>SUM(E1909)</f>
        <v>0</v>
      </c>
      <c r="F1910" s="6">
        <f>SUM(F1909)</f>
        <v>0</v>
      </c>
    </row>
    <row r="1911" spans="1:7" x14ac:dyDescent="0.25">
      <c r="A1911" s="1" t="s">
        <v>2</v>
      </c>
      <c r="B1911" s="1" t="s">
        <v>2</v>
      </c>
      <c r="C1911" s="1" t="s">
        <v>2</v>
      </c>
      <c r="D1911" s="1" t="s">
        <v>2</v>
      </c>
      <c r="E1911" s="1" t="s">
        <v>2</v>
      </c>
      <c r="F1911" s="1" t="s">
        <v>2</v>
      </c>
    </row>
    <row r="1912" spans="1:7" x14ac:dyDescent="0.25">
      <c r="A1912" s="1" t="s">
        <v>1466</v>
      </c>
      <c r="B1912" s="1" t="s">
        <v>2</v>
      </c>
      <c r="C1912" s="4">
        <v>3489754.88</v>
      </c>
      <c r="D1912" s="4">
        <v>1175525.1200000001</v>
      </c>
      <c r="E1912" s="6">
        <f>E1910+E1905+E1900+E1879+E1853+E1851+E1813+E1786</f>
        <v>6129015.2899999991</v>
      </c>
      <c r="F1912" s="6">
        <f>F1910+F1905+F1900+F1879+F1853+F1851+F1813+F1786</f>
        <v>0</v>
      </c>
    </row>
    <row r="1913" spans="1:7" ht="15" customHeight="1" x14ac:dyDescent="0.25">
      <c r="A1913" s="25" t="s">
        <v>2967</v>
      </c>
      <c r="B1913" s="25"/>
      <c r="C1913" s="33">
        <f>C1673+C1754-C1912</f>
        <v>4441881.0599999996</v>
      </c>
      <c r="D1913" s="33">
        <f>D1673+D1754-D1912</f>
        <v>5433836.4799999995</v>
      </c>
      <c r="E1913" s="33">
        <f>E1673+E1754-E1912</f>
        <v>3375433.7699999996</v>
      </c>
      <c r="F1913" s="33">
        <f>F1673+F1754-F1912</f>
        <v>3375433.7699999996</v>
      </c>
      <c r="G1913" s="25"/>
    </row>
    <row r="1914" spans="1:7" x14ac:dyDescent="0.25">
      <c r="A1914" s="1" t="s">
        <v>2</v>
      </c>
      <c r="B1914" s="1" t="s">
        <v>2</v>
      </c>
      <c r="C1914" s="1" t="s">
        <v>2</v>
      </c>
      <c r="D1914" s="1" t="s">
        <v>2</v>
      </c>
      <c r="E1914" s="1" t="s">
        <v>2</v>
      </c>
      <c r="F1914" s="1" t="s">
        <v>2</v>
      </c>
    </row>
    <row r="1915" spans="1:7" ht="15" customHeight="1" x14ac:dyDescent="0.25">
      <c r="A1915" s="27" t="s">
        <v>2968</v>
      </c>
      <c r="B1915" s="27"/>
      <c r="C1915" s="28">
        <v>6968582.8200000003</v>
      </c>
      <c r="D1915" s="28">
        <v>9003322.3399999999</v>
      </c>
      <c r="E1915" s="28">
        <v>9003322.3399999999</v>
      </c>
      <c r="F1915" s="28">
        <f>E2124</f>
        <v>8013870.0500000007</v>
      </c>
      <c r="G1915" s="27"/>
    </row>
    <row r="1916" spans="1:7" x14ac:dyDescent="0.25">
      <c r="A1916" s="23" t="s">
        <v>1467</v>
      </c>
      <c r="B1916" s="23" t="s">
        <v>2</v>
      </c>
      <c r="C1916" s="29"/>
      <c r="D1916" s="29"/>
      <c r="E1916" s="29"/>
      <c r="F1916" s="29"/>
      <c r="G1916" s="29"/>
    </row>
    <row r="1917" spans="1:7" x14ac:dyDescent="0.25">
      <c r="A1917" s="23" t="s">
        <v>2026</v>
      </c>
      <c r="B1917" s="23" t="s">
        <v>2</v>
      </c>
      <c r="C1917" s="29"/>
      <c r="D1917" s="29"/>
      <c r="E1917" s="29"/>
      <c r="F1917" s="29"/>
      <c r="G1917" s="29"/>
    </row>
    <row r="1918" spans="1:7" x14ac:dyDescent="0.25">
      <c r="A1918" s="30" t="s">
        <v>2969</v>
      </c>
      <c r="B1918" s="30" t="s">
        <v>2608</v>
      </c>
      <c r="C1918" s="31">
        <v>0</v>
      </c>
      <c r="D1918" s="31">
        <v>0</v>
      </c>
      <c r="E1918" s="31">
        <v>0</v>
      </c>
      <c r="F1918" s="31">
        <v>0</v>
      </c>
      <c r="G1918" s="29"/>
    </row>
    <row r="1919" spans="1:7" x14ac:dyDescent="0.25">
      <c r="A1919" s="30" t="s">
        <v>2970</v>
      </c>
      <c r="B1919" s="30" t="s">
        <v>2971</v>
      </c>
      <c r="C1919" s="31">
        <v>0</v>
      </c>
      <c r="D1919" s="31">
        <v>0</v>
      </c>
      <c r="E1919" s="31">
        <v>0</v>
      </c>
      <c r="F1919" s="31">
        <v>0</v>
      </c>
      <c r="G1919" s="29"/>
    </row>
    <row r="1920" spans="1:7" x14ac:dyDescent="0.25">
      <c r="A1920" s="30" t="s">
        <v>2972</v>
      </c>
      <c r="B1920" s="30" t="s">
        <v>2123</v>
      </c>
      <c r="C1920" s="31">
        <v>1059.31</v>
      </c>
      <c r="D1920" s="31">
        <v>0</v>
      </c>
      <c r="E1920" s="31">
        <v>0</v>
      </c>
      <c r="F1920" s="31">
        <v>0</v>
      </c>
      <c r="G1920" s="29"/>
    </row>
    <row r="1921" spans="1:7" x14ac:dyDescent="0.25">
      <c r="A1921" s="30" t="s">
        <v>2973</v>
      </c>
      <c r="B1921" s="30" t="s">
        <v>2974</v>
      </c>
      <c r="C1921" s="31">
        <v>0</v>
      </c>
      <c r="D1921" s="31">
        <v>0</v>
      </c>
      <c r="E1921" s="31">
        <v>0</v>
      </c>
      <c r="F1921" s="31">
        <v>0</v>
      </c>
      <c r="G1921" s="29"/>
    </row>
    <row r="1922" spans="1:7" x14ac:dyDescent="0.25">
      <c r="A1922" s="30"/>
      <c r="B1922" s="30"/>
      <c r="C1922" s="31"/>
      <c r="D1922" s="31"/>
      <c r="E1922" s="31"/>
      <c r="F1922" s="31"/>
      <c r="G1922" s="29"/>
    </row>
    <row r="1923" spans="1:7" x14ac:dyDescent="0.25">
      <c r="A1923" s="23" t="s">
        <v>2706</v>
      </c>
      <c r="B1923" s="23" t="s">
        <v>2</v>
      </c>
      <c r="C1923" s="29"/>
      <c r="D1923" s="29"/>
      <c r="E1923" s="29"/>
      <c r="F1923" s="29"/>
      <c r="G1923" s="29"/>
    </row>
    <row r="1924" spans="1:7" x14ac:dyDescent="0.25">
      <c r="A1924" s="23" t="s">
        <v>2707</v>
      </c>
      <c r="B1924" s="23" t="s">
        <v>2</v>
      </c>
      <c r="C1924" s="29"/>
      <c r="D1924" s="29"/>
      <c r="E1924" s="29"/>
      <c r="F1924" s="29"/>
      <c r="G1924" s="29"/>
    </row>
    <row r="1925" spans="1:7" x14ac:dyDescent="0.25">
      <c r="A1925" s="30" t="s">
        <v>2975</v>
      </c>
      <c r="B1925" s="30" t="s">
        <v>2976</v>
      </c>
      <c r="C1925" s="31">
        <v>2252174.08</v>
      </c>
      <c r="D1925" s="31">
        <v>654234.9</v>
      </c>
      <c r="E1925" s="31">
        <v>1032687</v>
      </c>
      <c r="F1925" s="31">
        <v>0</v>
      </c>
      <c r="G1925" s="29"/>
    </row>
    <row r="1926" spans="1:7" x14ac:dyDescent="0.25">
      <c r="A1926" s="30" t="s">
        <v>2977</v>
      </c>
      <c r="B1926" s="30" t="s">
        <v>2894</v>
      </c>
      <c r="C1926" s="31">
        <v>15992.92</v>
      </c>
      <c r="D1926" s="31">
        <v>9784.6</v>
      </c>
      <c r="E1926" s="31">
        <v>0</v>
      </c>
      <c r="F1926" s="31">
        <v>0</v>
      </c>
      <c r="G1926" s="29"/>
    </row>
    <row r="1927" spans="1:7" x14ac:dyDescent="0.25">
      <c r="A1927" s="30" t="s">
        <v>2978</v>
      </c>
      <c r="B1927" s="30" t="s">
        <v>2896</v>
      </c>
      <c r="C1927" s="31">
        <v>0</v>
      </c>
      <c r="D1927" s="31">
        <v>0</v>
      </c>
      <c r="E1927" s="31">
        <v>0</v>
      </c>
      <c r="F1927" s="31">
        <v>0</v>
      </c>
      <c r="G1927" s="29"/>
    </row>
    <row r="1928" spans="1:7" x14ac:dyDescent="0.25">
      <c r="A1928" s="30" t="s">
        <v>2979</v>
      </c>
      <c r="B1928" s="30" t="s">
        <v>2898</v>
      </c>
      <c r="C1928" s="31">
        <v>4731599.3899999997</v>
      </c>
      <c r="D1928" s="31">
        <v>2622681.3199999998</v>
      </c>
      <c r="E1928" s="31">
        <v>4901565</v>
      </c>
      <c r="F1928" s="31">
        <v>0</v>
      </c>
      <c r="G1928" s="29"/>
    </row>
    <row r="1929" spans="1:7" x14ac:dyDescent="0.25">
      <c r="A1929" s="30" t="s">
        <v>2980</v>
      </c>
      <c r="B1929" s="30" t="s">
        <v>2981</v>
      </c>
      <c r="C1929" s="31">
        <v>183.53</v>
      </c>
      <c r="D1929" s="31">
        <v>0</v>
      </c>
      <c r="E1929" s="31">
        <v>0</v>
      </c>
      <c r="F1929" s="31">
        <v>0</v>
      </c>
      <c r="G1929" s="29"/>
    </row>
    <row r="1930" spans="1:7" x14ac:dyDescent="0.25">
      <c r="A1930" s="30" t="s">
        <v>2982</v>
      </c>
      <c r="B1930" s="30" t="s">
        <v>2983</v>
      </c>
      <c r="C1930" s="31">
        <v>132773.88</v>
      </c>
      <c r="D1930" s="31">
        <v>63684.68</v>
      </c>
      <c r="E1930" s="31">
        <v>120000</v>
      </c>
      <c r="F1930" s="31">
        <v>0</v>
      </c>
      <c r="G1930" s="29"/>
    </row>
    <row r="1931" spans="1:7" x14ac:dyDescent="0.25">
      <c r="A1931" s="30" t="s">
        <v>2984</v>
      </c>
      <c r="B1931" s="30" t="s">
        <v>2985</v>
      </c>
      <c r="C1931" s="31">
        <v>236.68</v>
      </c>
      <c r="D1931" s="31">
        <v>0</v>
      </c>
      <c r="E1931" s="31">
        <v>0</v>
      </c>
      <c r="F1931" s="31">
        <v>0</v>
      </c>
      <c r="G1931" s="29"/>
    </row>
    <row r="1932" spans="1:7" x14ac:dyDescent="0.25">
      <c r="A1932" s="30" t="s">
        <v>2986</v>
      </c>
      <c r="B1932" s="30" t="s">
        <v>2987</v>
      </c>
      <c r="C1932" s="31">
        <v>18300</v>
      </c>
      <c r="D1932" s="31">
        <v>4740</v>
      </c>
      <c r="E1932" s="31">
        <v>8500</v>
      </c>
      <c r="F1932" s="31">
        <v>0</v>
      </c>
      <c r="G1932" s="29"/>
    </row>
    <row r="1933" spans="1:7" x14ac:dyDescent="0.25">
      <c r="A1933" s="30" t="s">
        <v>2988</v>
      </c>
      <c r="B1933" s="30" t="s">
        <v>2989</v>
      </c>
      <c r="C1933" s="31">
        <v>8885.25</v>
      </c>
      <c r="D1933" s="31">
        <v>3102.75</v>
      </c>
      <c r="E1933" s="31">
        <v>4500</v>
      </c>
      <c r="F1933" s="31">
        <v>0</v>
      </c>
      <c r="G1933" s="29"/>
    </row>
    <row r="1934" spans="1:7" x14ac:dyDescent="0.25">
      <c r="A1934" s="30" t="s">
        <v>2990</v>
      </c>
      <c r="B1934" s="30" t="s">
        <v>2991</v>
      </c>
      <c r="C1934" s="31">
        <v>300</v>
      </c>
      <c r="D1934" s="31">
        <v>250.62</v>
      </c>
      <c r="E1934" s="31">
        <v>0</v>
      </c>
      <c r="F1934" s="31">
        <v>0</v>
      </c>
      <c r="G1934" s="29"/>
    </row>
    <row r="1935" spans="1:7" x14ac:dyDescent="0.25">
      <c r="A1935" s="23" t="s">
        <v>2710</v>
      </c>
      <c r="B1935" s="23" t="s">
        <v>2</v>
      </c>
      <c r="C1935" s="32">
        <v>7160445.7300000004</v>
      </c>
      <c r="D1935" s="32">
        <v>3358478.87</v>
      </c>
      <c r="E1935" s="32">
        <f>SUM(E1925:E1934)</f>
        <v>6067252</v>
      </c>
      <c r="F1935" s="32">
        <f>SUM(F1925:F1934)</f>
        <v>0</v>
      </c>
      <c r="G1935" s="29"/>
    </row>
    <row r="1936" spans="1:7" x14ac:dyDescent="0.25">
      <c r="A1936" s="23" t="s">
        <v>2</v>
      </c>
      <c r="B1936" s="23" t="s">
        <v>2</v>
      </c>
      <c r="C1936" s="23" t="s">
        <v>2</v>
      </c>
      <c r="D1936" s="23" t="s">
        <v>2</v>
      </c>
      <c r="E1936" s="23" t="s">
        <v>2</v>
      </c>
      <c r="F1936" s="23" t="s">
        <v>2</v>
      </c>
      <c r="G1936" s="29"/>
    </row>
    <row r="1937" spans="1:7" x14ac:dyDescent="0.25">
      <c r="A1937" s="23" t="s">
        <v>2721</v>
      </c>
      <c r="B1937" s="23" t="s">
        <v>2</v>
      </c>
      <c r="C1937" s="32">
        <v>7160445.7300000004</v>
      </c>
      <c r="D1937" s="32">
        <v>3358478.87</v>
      </c>
      <c r="E1937" s="32">
        <f>E1935</f>
        <v>6067252</v>
      </c>
      <c r="F1937" s="32">
        <f>F1935</f>
        <v>0</v>
      </c>
      <c r="G1937" s="29"/>
    </row>
    <row r="1938" spans="1:7" x14ac:dyDescent="0.25">
      <c r="A1938" s="23" t="s">
        <v>2</v>
      </c>
      <c r="B1938" s="23" t="s">
        <v>2</v>
      </c>
      <c r="C1938" s="23" t="s">
        <v>2</v>
      </c>
      <c r="D1938" s="23" t="s">
        <v>2</v>
      </c>
      <c r="E1938" s="23" t="s">
        <v>2</v>
      </c>
      <c r="F1938" s="23" t="s">
        <v>2</v>
      </c>
      <c r="G1938" s="29"/>
    </row>
    <row r="1939" spans="1:7" x14ac:dyDescent="0.25">
      <c r="A1939" s="30" t="s">
        <v>2992</v>
      </c>
      <c r="B1939" s="30" t="s">
        <v>2993</v>
      </c>
      <c r="C1939" s="31">
        <v>0</v>
      </c>
      <c r="D1939" s="31">
        <v>0</v>
      </c>
      <c r="E1939" s="31">
        <v>0</v>
      </c>
      <c r="F1939" s="31">
        <v>0</v>
      </c>
      <c r="G1939" s="29"/>
    </row>
    <row r="1940" spans="1:7" x14ac:dyDescent="0.25">
      <c r="A1940" s="30" t="s">
        <v>2994</v>
      </c>
      <c r="B1940" s="30" t="s">
        <v>2584</v>
      </c>
      <c r="C1940" s="31">
        <v>3559.94</v>
      </c>
      <c r="D1940" s="31">
        <v>11825.49</v>
      </c>
      <c r="E1940" s="31">
        <v>0</v>
      </c>
      <c r="F1940" s="31">
        <v>0</v>
      </c>
      <c r="G1940" s="29"/>
    </row>
    <row r="1941" spans="1:7" x14ac:dyDescent="0.25">
      <c r="A1941" s="30" t="s">
        <v>2995</v>
      </c>
      <c r="B1941" s="30" t="s">
        <v>2930</v>
      </c>
      <c r="C1941" s="31">
        <v>594</v>
      </c>
      <c r="D1941" s="31">
        <v>486</v>
      </c>
      <c r="E1941" s="31">
        <v>0</v>
      </c>
      <c r="F1941" s="31">
        <v>0</v>
      </c>
      <c r="G1941" s="29"/>
    </row>
    <row r="1942" spans="1:7" x14ac:dyDescent="0.25">
      <c r="A1942" s="30" t="s">
        <v>2996</v>
      </c>
      <c r="B1942" s="30" t="s">
        <v>2932</v>
      </c>
      <c r="C1942" s="31">
        <v>0</v>
      </c>
      <c r="D1942" s="31">
        <v>0</v>
      </c>
      <c r="E1942" s="31">
        <v>0</v>
      </c>
      <c r="F1942" s="31">
        <v>0</v>
      </c>
      <c r="G1942" s="29"/>
    </row>
    <row r="1943" spans="1:7" x14ac:dyDescent="0.25">
      <c r="A1943" s="30" t="s">
        <v>2997</v>
      </c>
      <c r="B1943" s="30" t="s">
        <v>2934</v>
      </c>
      <c r="C1943" s="31">
        <v>0</v>
      </c>
      <c r="D1943" s="31">
        <v>1413.58</v>
      </c>
      <c r="E1943" s="31">
        <v>0</v>
      </c>
      <c r="F1943" s="31">
        <v>0</v>
      </c>
      <c r="G1943" s="29"/>
    </row>
    <row r="1944" spans="1:7" x14ac:dyDescent="0.25">
      <c r="A1944" s="30"/>
      <c r="B1944" s="30"/>
      <c r="C1944" s="31"/>
      <c r="D1944" s="31"/>
      <c r="E1944" s="31"/>
      <c r="F1944" s="31"/>
      <c r="G1944" s="29"/>
    </row>
    <row r="1945" spans="1:7" x14ac:dyDescent="0.25">
      <c r="A1945" s="23" t="s">
        <v>2175</v>
      </c>
      <c r="B1945" s="23" t="s">
        <v>2</v>
      </c>
      <c r="C1945" s="29"/>
      <c r="D1945" s="29"/>
      <c r="E1945" s="29"/>
      <c r="F1945" s="29"/>
      <c r="G1945" s="29"/>
    </row>
    <row r="1946" spans="1:7" x14ac:dyDescent="0.25">
      <c r="A1946" s="23" t="s">
        <v>2176</v>
      </c>
      <c r="B1946" s="23" t="s">
        <v>2</v>
      </c>
      <c r="C1946" s="29"/>
      <c r="D1946" s="29"/>
      <c r="E1946" s="29"/>
      <c r="F1946" s="29"/>
      <c r="G1946" s="29"/>
    </row>
    <row r="1947" spans="1:7" x14ac:dyDescent="0.25">
      <c r="A1947" s="30" t="s">
        <v>2998</v>
      </c>
      <c r="B1947" s="30" t="s">
        <v>2409</v>
      </c>
      <c r="C1947" s="31">
        <v>4045.69</v>
      </c>
      <c r="D1947" s="31">
        <v>4052.2</v>
      </c>
      <c r="E1947" s="31">
        <v>0</v>
      </c>
      <c r="F1947" s="31">
        <v>0</v>
      </c>
      <c r="G1947" s="29"/>
    </row>
    <row r="1948" spans="1:7" x14ac:dyDescent="0.25">
      <c r="A1948" s="30" t="s">
        <v>2999</v>
      </c>
      <c r="B1948" s="30" t="s">
        <v>2703</v>
      </c>
      <c r="C1948" s="31">
        <v>0</v>
      </c>
      <c r="D1948" s="31">
        <v>0</v>
      </c>
      <c r="E1948" s="31">
        <v>0</v>
      </c>
      <c r="F1948" s="31">
        <v>0</v>
      </c>
      <c r="G1948" s="29"/>
    </row>
    <row r="1949" spans="1:7" x14ac:dyDescent="0.25">
      <c r="A1949" s="30" t="s">
        <v>3000</v>
      </c>
      <c r="B1949" s="30" t="s">
        <v>2938</v>
      </c>
      <c r="C1949" s="31">
        <v>14.65</v>
      </c>
      <c r="D1949" s="31">
        <v>4.6100000000000003</v>
      </c>
      <c r="E1949" s="31">
        <v>0</v>
      </c>
      <c r="F1949" s="31">
        <v>0</v>
      </c>
      <c r="G1949" s="29"/>
    </row>
    <row r="1950" spans="1:7" x14ac:dyDescent="0.25">
      <c r="A1950" s="23" t="s">
        <v>2179</v>
      </c>
      <c r="B1950" s="23" t="s">
        <v>2</v>
      </c>
      <c r="C1950" s="32">
        <v>4060.34</v>
      </c>
      <c r="D1950" s="32">
        <v>4056.81</v>
      </c>
      <c r="E1950" s="32">
        <f>SUM(E1947:E1949)</f>
        <v>0</v>
      </c>
      <c r="F1950" s="32">
        <f>SUM(F1947:F1949)</f>
        <v>0</v>
      </c>
      <c r="G1950" s="29"/>
    </row>
    <row r="1951" spans="1:7" x14ac:dyDescent="0.25">
      <c r="A1951" s="23" t="s">
        <v>2</v>
      </c>
      <c r="B1951" s="23" t="s">
        <v>2</v>
      </c>
      <c r="C1951" s="23" t="s">
        <v>2</v>
      </c>
      <c r="D1951" s="23" t="s">
        <v>2</v>
      </c>
      <c r="E1951" s="23" t="s">
        <v>2</v>
      </c>
      <c r="F1951" s="23" t="s">
        <v>2</v>
      </c>
      <c r="G1951" s="29"/>
    </row>
    <row r="1952" spans="1:7" x14ac:dyDescent="0.25">
      <c r="A1952" s="23" t="s">
        <v>2581</v>
      </c>
      <c r="B1952" s="23" t="s">
        <v>2</v>
      </c>
      <c r="C1952" s="29"/>
      <c r="D1952" s="29"/>
      <c r="E1952" s="29"/>
      <c r="F1952" s="29"/>
      <c r="G1952" s="29"/>
    </row>
    <row r="1953" spans="1:7" x14ac:dyDescent="0.25">
      <c r="A1953" s="30" t="s">
        <v>3001</v>
      </c>
      <c r="B1953" s="30" t="s">
        <v>3002</v>
      </c>
      <c r="C1953" s="31">
        <v>955.95</v>
      </c>
      <c r="D1953" s="31">
        <v>0</v>
      </c>
      <c r="E1953" s="31">
        <v>0</v>
      </c>
      <c r="F1953" s="31">
        <v>0</v>
      </c>
      <c r="G1953" s="29"/>
    </row>
    <row r="1954" spans="1:7" x14ac:dyDescent="0.25">
      <c r="A1954" s="30" t="s">
        <v>3003</v>
      </c>
      <c r="B1954" s="30" t="s">
        <v>2942</v>
      </c>
      <c r="C1954" s="31">
        <v>0</v>
      </c>
      <c r="D1954" s="31">
        <v>0</v>
      </c>
      <c r="E1954" s="31">
        <v>0</v>
      </c>
      <c r="F1954" s="31">
        <v>0</v>
      </c>
      <c r="G1954" s="29"/>
    </row>
    <row r="1955" spans="1:7" x14ac:dyDescent="0.25">
      <c r="A1955" s="23" t="s">
        <v>2585</v>
      </c>
      <c r="B1955" s="23" t="s">
        <v>2</v>
      </c>
      <c r="C1955" s="32">
        <v>955.95</v>
      </c>
      <c r="D1955" s="32">
        <v>0</v>
      </c>
      <c r="E1955" s="32">
        <f>SUM(E1953:E1954)</f>
        <v>0</v>
      </c>
      <c r="F1955" s="32">
        <f>SUM(F1953:F1954)</f>
        <v>0</v>
      </c>
      <c r="G1955" s="29"/>
    </row>
    <row r="1956" spans="1:7" x14ac:dyDescent="0.25">
      <c r="A1956" s="30"/>
      <c r="B1956" s="30"/>
      <c r="C1956" s="31"/>
      <c r="D1956" s="31"/>
      <c r="E1956" s="31"/>
      <c r="F1956" s="31"/>
      <c r="G1956" s="29"/>
    </row>
    <row r="1957" spans="1:7" x14ac:dyDescent="0.25">
      <c r="A1957" s="23" t="s">
        <v>2180</v>
      </c>
      <c r="B1957" s="23" t="s">
        <v>2</v>
      </c>
      <c r="C1957" s="32">
        <v>5016.29</v>
      </c>
      <c r="D1957" s="32">
        <v>4056.81</v>
      </c>
      <c r="E1957" s="32">
        <f>E1950+E1955</f>
        <v>0</v>
      </c>
      <c r="F1957" s="32">
        <f>F1950+F1955</f>
        <v>0</v>
      </c>
      <c r="G1957" s="29"/>
    </row>
    <row r="1958" spans="1:7" x14ac:dyDescent="0.25">
      <c r="A1958" s="23" t="s">
        <v>2</v>
      </c>
      <c r="B1958" s="23" t="s">
        <v>2</v>
      </c>
      <c r="C1958" s="23" t="s">
        <v>2</v>
      </c>
      <c r="D1958" s="23" t="s">
        <v>2</v>
      </c>
      <c r="E1958" s="23" t="s">
        <v>2</v>
      </c>
      <c r="F1958" s="23" t="s">
        <v>2</v>
      </c>
      <c r="G1958" s="29"/>
    </row>
    <row r="1959" spans="1:7" ht="24" x14ac:dyDescent="0.25">
      <c r="A1959" s="23" t="s">
        <v>2948</v>
      </c>
      <c r="B1959" s="23" t="s">
        <v>2</v>
      </c>
      <c r="C1959" s="29"/>
      <c r="D1959" s="29"/>
      <c r="E1959" s="29"/>
      <c r="F1959" s="29"/>
      <c r="G1959" s="29"/>
    </row>
    <row r="1960" spans="1:7" x14ac:dyDescent="0.25">
      <c r="A1960" s="30" t="s">
        <v>3004</v>
      </c>
      <c r="B1960" s="30" t="s">
        <v>3005</v>
      </c>
      <c r="C1960" s="31">
        <v>0</v>
      </c>
      <c r="D1960" s="31">
        <v>0</v>
      </c>
      <c r="E1960" s="31">
        <v>0</v>
      </c>
      <c r="F1960" s="31">
        <v>0</v>
      </c>
      <c r="G1960" s="29"/>
    </row>
    <row r="1961" spans="1:7" ht="24" x14ac:dyDescent="0.25">
      <c r="A1961" s="23" t="s">
        <v>2950</v>
      </c>
      <c r="B1961" s="23" t="s">
        <v>2</v>
      </c>
      <c r="C1961" s="32">
        <v>0</v>
      </c>
      <c r="D1961" s="32">
        <v>0</v>
      </c>
      <c r="E1961" s="32">
        <f>SUM(E1960)</f>
        <v>0</v>
      </c>
      <c r="F1961" s="32">
        <f>SUM(F1960)</f>
        <v>0</v>
      </c>
      <c r="G1961" s="29"/>
    </row>
    <row r="1962" spans="1:7" x14ac:dyDescent="0.25">
      <c r="A1962" s="23" t="s">
        <v>2</v>
      </c>
      <c r="B1962" s="23" t="s">
        <v>2</v>
      </c>
      <c r="C1962" s="23" t="s">
        <v>2</v>
      </c>
      <c r="D1962" s="23" t="s">
        <v>2</v>
      </c>
      <c r="E1962" s="23" t="s">
        <v>2</v>
      </c>
      <c r="F1962" s="23" t="s">
        <v>2</v>
      </c>
      <c r="G1962" s="29"/>
    </row>
    <row r="1963" spans="1:7" x14ac:dyDescent="0.25">
      <c r="A1963" s="23" t="s">
        <v>2553</v>
      </c>
      <c r="B1963" s="23" t="s">
        <v>2</v>
      </c>
      <c r="C1963" s="29"/>
      <c r="D1963" s="29"/>
      <c r="E1963" s="29"/>
      <c r="F1963" s="29"/>
      <c r="G1963" s="29"/>
    </row>
    <row r="1964" spans="1:7" ht="24" x14ac:dyDescent="0.25">
      <c r="A1964" s="23" t="s">
        <v>3006</v>
      </c>
      <c r="B1964" s="23" t="s">
        <v>2</v>
      </c>
      <c r="C1964" s="29"/>
      <c r="D1964" s="29"/>
      <c r="E1964" s="29"/>
      <c r="F1964" s="29"/>
      <c r="G1964" s="29"/>
    </row>
    <row r="1965" spans="1:7" x14ac:dyDescent="0.25">
      <c r="A1965" s="30" t="s">
        <v>3007</v>
      </c>
      <c r="B1965" s="30" t="s">
        <v>3008</v>
      </c>
      <c r="C1965" s="31">
        <v>0</v>
      </c>
      <c r="D1965" s="31">
        <v>0</v>
      </c>
      <c r="E1965" s="31">
        <v>0</v>
      </c>
      <c r="F1965" s="31">
        <v>0</v>
      </c>
      <c r="G1965" s="29"/>
    </row>
    <row r="1966" spans="1:7" x14ac:dyDescent="0.25">
      <c r="A1966" s="30" t="s">
        <v>3009</v>
      </c>
      <c r="B1966" s="30" t="s">
        <v>3010</v>
      </c>
      <c r="C1966" s="31">
        <v>0</v>
      </c>
      <c r="D1966" s="31">
        <v>0</v>
      </c>
      <c r="E1966" s="31">
        <v>0</v>
      </c>
      <c r="F1966" s="31">
        <v>0</v>
      </c>
      <c r="G1966" s="29"/>
    </row>
    <row r="1967" spans="1:7" ht="24" x14ac:dyDescent="0.25">
      <c r="A1967" s="23" t="s">
        <v>3011</v>
      </c>
      <c r="B1967" s="23" t="s">
        <v>2</v>
      </c>
      <c r="C1967" s="32">
        <v>0</v>
      </c>
      <c r="D1967" s="32">
        <v>0</v>
      </c>
      <c r="E1967" s="32">
        <f>SUM(E1965:E1966)</f>
        <v>0</v>
      </c>
      <c r="F1967" s="32">
        <f>SUM(F1965:F1966)</f>
        <v>0</v>
      </c>
      <c r="G1967" s="29"/>
    </row>
    <row r="1968" spans="1:7" x14ac:dyDescent="0.25">
      <c r="A1968" s="23" t="s">
        <v>2</v>
      </c>
      <c r="B1968" s="23" t="s">
        <v>2</v>
      </c>
      <c r="C1968" s="23" t="s">
        <v>2</v>
      </c>
      <c r="D1968" s="23" t="s">
        <v>2</v>
      </c>
      <c r="E1968" s="23" t="s">
        <v>2</v>
      </c>
      <c r="F1968" s="23" t="s">
        <v>2</v>
      </c>
      <c r="G1968" s="29"/>
    </row>
    <row r="1969" spans="1:7" x14ac:dyDescent="0.25">
      <c r="A1969" s="30" t="s">
        <v>3012</v>
      </c>
      <c r="B1969" s="30" t="s">
        <v>3013</v>
      </c>
      <c r="C1969" s="31">
        <v>0</v>
      </c>
      <c r="D1969" s="31">
        <v>0</v>
      </c>
      <c r="E1969" s="31">
        <v>0</v>
      </c>
      <c r="F1969" s="31">
        <v>0</v>
      </c>
      <c r="G1969" s="29"/>
    </row>
    <row r="1970" spans="1:7" x14ac:dyDescent="0.25">
      <c r="A1970" s="30" t="s">
        <v>3014</v>
      </c>
      <c r="B1970" s="30" t="s">
        <v>2965</v>
      </c>
      <c r="C1970" s="31">
        <v>0</v>
      </c>
      <c r="D1970" s="31">
        <v>0</v>
      </c>
      <c r="E1970" s="31">
        <v>0</v>
      </c>
      <c r="F1970" s="31">
        <v>0</v>
      </c>
      <c r="G1970" s="29"/>
    </row>
    <row r="1971" spans="1:7" x14ac:dyDescent="0.25">
      <c r="A1971" s="23" t="s">
        <v>2</v>
      </c>
      <c r="B1971" s="23" t="s">
        <v>2</v>
      </c>
      <c r="C1971" s="23" t="s">
        <v>2</v>
      </c>
      <c r="D1971" s="23" t="s">
        <v>2</v>
      </c>
      <c r="E1971" s="23" t="s">
        <v>2</v>
      </c>
      <c r="F1971" s="23" t="s">
        <v>2</v>
      </c>
      <c r="G1971" s="29"/>
    </row>
    <row r="1972" spans="1:7" x14ac:dyDescent="0.25">
      <c r="A1972" s="23" t="s">
        <v>2556</v>
      </c>
      <c r="B1972" s="23" t="s">
        <v>2</v>
      </c>
      <c r="C1972" s="32">
        <v>0</v>
      </c>
      <c r="D1972" s="32">
        <v>0</v>
      </c>
      <c r="E1972" s="32">
        <f>SUM(E1969:E1970)+E1967</f>
        <v>0</v>
      </c>
      <c r="F1972" s="32">
        <f>SUM(F1969:F1970)+F1967</f>
        <v>0</v>
      </c>
      <c r="G1972" s="29"/>
    </row>
    <row r="1973" spans="1:7" x14ac:dyDescent="0.25">
      <c r="A1973" s="23" t="s">
        <v>2</v>
      </c>
      <c r="B1973" s="23" t="s">
        <v>2</v>
      </c>
      <c r="C1973" s="23" t="s">
        <v>2</v>
      </c>
      <c r="D1973" s="23" t="s">
        <v>2</v>
      </c>
      <c r="E1973" s="23" t="s">
        <v>2</v>
      </c>
      <c r="F1973" s="23" t="s">
        <v>2</v>
      </c>
      <c r="G1973" s="29"/>
    </row>
    <row r="1974" spans="1:7" x14ac:dyDescent="0.25">
      <c r="A1974" s="23" t="s">
        <v>1643</v>
      </c>
      <c r="B1974" s="23" t="s">
        <v>2</v>
      </c>
      <c r="C1974" s="32">
        <v>7170675.2699999996</v>
      </c>
      <c r="D1974" s="32">
        <v>3376260.75</v>
      </c>
      <c r="E1974" s="32">
        <f>E1972+E1961+E1957+SUM(E1939:E1943)+E1937+SUM(E1918:E1921)</f>
        <v>6067252</v>
      </c>
      <c r="F1974" s="32">
        <f>F1972+F1961+F1957+SUM(F1939:F1943)+F1937+SUM(F1918:F1921)</f>
        <v>0</v>
      </c>
      <c r="G1974" s="29"/>
    </row>
    <row r="1975" spans="1:7" x14ac:dyDescent="0.25">
      <c r="A1975" s="1" t="s">
        <v>740</v>
      </c>
      <c r="B1975" s="1"/>
      <c r="C1975" s="4"/>
      <c r="D1975" s="4"/>
      <c r="E1975" s="4"/>
      <c r="F1975" s="4"/>
    </row>
    <row r="1976" spans="1:7" x14ac:dyDescent="0.25">
      <c r="A1976" s="1" t="s">
        <v>1467</v>
      </c>
      <c r="B1976" s="1" t="s">
        <v>2</v>
      </c>
      <c r="C1976" s="40"/>
      <c r="D1976" s="40"/>
    </row>
    <row r="1977" spans="1:7" ht="15" customHeight="1" x14ac:dyDescent="0.25">
      <c r="A1977" s="1" t="s">
        <v>1268</v>
      </c>
      <c r="B1977" s="1" t="s">
        <v>2</v>
      </c>
    </row>
    <row r="1978" spans="1:7" ht="15" customHeight="1" x14ac:dyDescent="0.25">
      <c r="A1978" s="2" t="s">
        <v>1468</v>
      </c>
      <c r="B1978" s="2" t="s">
        <v>108</v>
      </c>
      <c r="C1978" s="3">
        <v>44167.61</v>
      </c>
      <c r="D1978" s="3">
        <v>20158</v>
      </c>
      <c r="E1978" s="3">
        <v>62096.98</v>
      </c>
      <c r="F1978" s="5">
        <v>0</v>
      </c>
    </row>
    <row r="1979" spans="1:7" ht="15" customHeight="1" x14ac:dyDescent="0.25">
      <c r="A1979" s="2" t="s">
        <v>1469</v>
      </c>
      <c r="B1979" s="2" t="s">
        <v>652</v>
      </c>
      <c r="C1979" s="3">
        <v>83482.17</v>
      </c>
      <c r="D1979" s="3">
        <v>38102.04</v>
      </c>
      <c r="E1979" s="3">
        <v>106454.51</v>
      </c>
      <c r="F1979" s="5">
        <v>0</v>
      </c>
    </row>
    <row r="1980" spans="1:7" ht="15" customHeight="1" x14ac:dyDescent="0.25">
      <c r="A1980" s="2" t="s">
        <v>1470</v>
      </c>
      <c r="B1980" s="2" t="s">
        <v>29</v>
      </c>
      <c r="C1980" s="3">
        <v>34496.300000000003</v>
      </c>
      <c r="D1980" s="3">
        <v>17244.150000000001</v>
      </c>
      <c r="E1980" s="3">
        <v>48418.2</v>
      </c>
      <c r="F1980" s="5">
        <v>0</v>
      </c>
    </row>
    <row r="1981" spans="1:7" ht="15" customHeight="1" x14ac:dyDescent="0.25">
      <c r="A1981" s="2" t="s">
        <v>1471</v>
      </c>
      <c r="B1981" s="2" t="s">
        <v>128</v>
      </c>
      <c r="C1981" s="3">
        <v>1137.44</v>
      </c>
      <c r="D1981" s="3">
        <v>425.72</v>
      </c>
      <c r="E1981" s="3">
        <v>1509.97</v>
      </c>
      <c r="F1981" s="5">
        <v>0</v>
      </c>
    </row>
    <row r="1982" spans="1:7" ht="15" customHeight="1" x14ac:dyDescent="0.25">
      <c r="A1982" s="2" t="s">
        <v>1472</v>
      </c>
      <c r="B1982" s="2" t="s">
        <v>33</v>
      </c>
      <c r="C1982" s="3">
        <v>17162.46</v>
      </c>
      <c r="D1982" s="3">
        <v>6984.52</v>
      </c>
      <c r="E1982" s="3">
        <v>20220.11</v>
      </c>
      <c r="F1982" s="5">
        <v>0</v>
      </c>
    </row>
    <row r="1983" spans="1:7" ht="15" customHeight="1" x14ac:dyDescent="0.25">
      <c r="A1983" s="2" t="s">
        <v>1473</v>
      </c>
      <c r="B1983" s="2" t="s">
        <v>11</v>
      </c>
      <c r="C1983" s="3">
        <v>9621.1299999999992</v>
      </c>
      <c r="D1983" s="3">
        <v>4390.6499999999996</v>
      </c>
      <c r="E1983" s="3">
        <v>12894.19</v>
      </c>
      <c r="F1983" s="5">
        <v>0</v>
      </c>
    </row>
    <row r="1984" spans="1:7" ht="15" customHeight="1" x14ac:dyDescent="0.25">
      <c r="A1984" s="2" t="s">
        <v>1474</v>
      </c>
      <c r="B1984" s="2" t="s">
        <v>13</v>
      </c>
      <c r="C1984" s="3">
        <v>187.17</v>
      </c>
      <c r="D1984" s="3">
        <v>123.7</v>
      </c>
      <c r="E1984" s="3">
        <v>247.77</v>
      </c>
      <c r="F1984" s="5">
        <v>0</v>
      </c>
    </row>
    <row r="1985" spans="1:6" ht="15" customHeight="1" x14ac:dyDescent="0.25">
      <c r="A1985" s="2" t="s">
        <v>1475</v>
      </c>
      <c r="B1985" s="2" t="s">
        <v>286</v>
      </c>
      <c r="C1985" s="3">
        <v>84.5</v>
      </c>
      <c r="D1985" s="3">
        <v>0</v>
      </c>
      <c r="E1985" s="3">
        <v>143</v>
      </c>
      <c r="F1985" s="5">
        <v>0</v>
      </c>
    </row>
    <row r="1986" spans="1:6" ht="15" customHeight="1" x14ac:dyDescent="0.25">
      <c r="A1986" s="2" t="s">
        <v>1476</v>
      </c>
      <c r="B1986" s="2" t="s">
        <v>37</v>
      </c>
      <c r="C1986" s="3">
        <v>429</v>
      </c>
      <c r="D1986" s="3">
        <v>178.79</v>
      </c>
      <c r="E1986" s="3">
        <v>1000</v>
      </c>
      <c r="F1986" s="5">
        <v>0</v>
      </c>
    </row>
    <row r="1987" spans="1:6" ht="15" customHeight="1" x14ac:dyDescent="0.25">
      <c r="A1987" s="2" t="s">
        <v>1477</v>
      </c>
      <c r="B1987" s="2" t="s">
        <v>39</v>
      </c>
      <c r="C1987" s="3">
        <v>0</v>
      </c>
      <c r="D1987" s="3">
        <v>0</v>
      </c>
      <c r="E1987" s="3">
        <v>500</v>
      </c>
      <c r="F1987" s="5">
        <v>0</v>
      </c>
    </row>
    <row r="1988" spans="1:6" ht="15" customHeight="1" x14ac:dyDescent="0.25">
      <c r="A1988" s="2" t="s">
        <v>1478</v>
      </c>
      <c r="B1988" s="2" t="s">
        <v>907</v>
      </c>
      <c r="C1988" s="3">
        <v>117287.42</v>
      </c>
      <c r="D1988" s="3">
        <v>84306.7</v>
      </c>
      <c r="E1988" s="3">
        <v>84306.7</v>
      </c>
      <c r="F1988" s="5">
        <v>0</v>
      </c>
    </row>
    <row r="1989" spans="1:6" x14ac:dyDescent="0.25">
      <c r="A1989" s="2" t="s">
        <v>1479</v>
      </c>
      <c r="B1989" s="2" t="s">
        <v>598</v>
      </c>
      <c r="C1989" s="3">
        <v>61839.34</v>
      </c>
      <c r="D1989" s="3">
        <v>43389.64</v>
      </c>
      <c r="E1989" s="3">
        <v>43389.64</v>
      </c>
      <c r="F1989" s="5">
        <v>0</v>
      </c>
    </row>
    <row r="1990" spans="1:6" x14ac:dyDescent="0.25">
      <c r="A1990" s="2" t="s">
        <v>1480</v>
      </c>
      <c r="B1990" s="2" t="s">
        <v>15</v>
      </c>
      <c r="C1990" s="3">
        <v>25133.3</v>
      </c>
      <c r="D1990" s="3">
        <v>9072.8700000000008</v>
      </c>
      <c r="E1990" s="3">
        <v>9072.8700000000008</v>
      </c>
      <c r="F1990" s="5">
        <v>0</v>
      </c>
    </row>
    <row r="1991" spans="1:6" x14ac:dyDescent="0.25">
      <c r="A1991" s="2" t="s">
        <v>1481</v>
      </c>
      <c r="B1991" s="2" t="s">
        <v>1482</v>
      </c>
      <c r="C1991" s="3">
        <v>1665</v>
      </c>
      <c r="D1991" s="3">
        <v>8459.44</v>
      </c>
      <c r="E1991" s="3">
        <v>60000</v>
      </c>
      <c r="F1991" s="5">
        <v>0</v>
      </c>
    </row>
    <row r="1992" spans="1:6" ht="15" customHeight="1" x14ac:dyDescent="0.25">
      <c r="A1992" s="2" t="s">
        <v>1483</v>
      </c>
      <c r="B1992" s="2" t="s">
        <v>1484</v>
      </c>
      <c r="C1992" s="3">
        <v>34098.04</v>
      </c>
      <c r="D1992" s="3">
        <v>14048.07</v>
      </c>
      <c r="E1992" s="3">
        <v>21000</v>
      </c>
      <c r="F1992" s="5">
        <v>0</v>
      </c>
    </row>
    <row r="1993" spans="1:6" ht="15" customHeight="1" x14ac:dyDescent="0.25">
      <c r="A1993" s="2" t="s">
        <v>1485</v>
      </c>
      <c r="B1993" s="2" t="s">
        <v>59</v>
      </c>
      <c r="C1993" s="3">
        <v>258.07</v>
      </c>
      <c r="D1993" s="3">
        <v>292.99</v>
      </c>
      <c r="E1993" s="3">
        <v>5000</v>
      </c>
      <c r="F1993" s="5">
        <v>0</v>
      </c>
    </row>
    <row r="1994" spans="1:6" ht="15" customHeight="1" x14ac:dyDescent="0.25">
      <c r="A1994" s="2" t="s">
        <v>1486</v>
      </c>
      <c r="B1994" s="2" t="s">
        <v>99</v>
      </c>
      <c r="C1994" s="3">
        <v>6255.51</v>
      </c>
      <c r="D1994" s="3">
        <v>2204.41</v>
      </c>
      <c r="E1994" s="3">
        <v>5700</v>
      </c>
      <c r="F1994" s="5">
        <v>0</v>
      </c>
    </row>
    <row r="1995" spans="1:6" ht="15" customHeight="1" x14ac:dyDescent="0.25">
      <c r="A1995" s="2" t="s">
        <v>1487</v>
      </c>
      <c r="B1995" s="2" t="s">
        <v>17</v>
      </c>
      <c r="C1995" s="3">
        <v>0</v>
      </c>
      <c r="D1995" s="3">
        <v>0</v>
      </c>
      <c r="E1995" s="3">
        <v>500</v>
      </c>
      <c r="F1995" s="5">
        <v>0</v>
      </c>
    </row>
    <row r="1996" spans="1:6" ht="15" customHeight="1" x14ac:dyDescent="0.25">
      <c r="A1996" s="2" t="s">
        <v>1488</v>
      </c>
      <c r="B1996" s="2" t="s">
        <v>144</v>
      </c>
      <c r="C1996" s="3">
        <v>84.79</v>
      </c>
      <c r="D1996" s="3">
        <v>0</v>
      </c>
      <c r="E1996" s="3">
        <v>250</v>
      </c>
      <c r="F1996" s="5">
        <v>0</v>
      </c>
    </row>
    <row r="1997" spans="1:6" ht="15" customHeight="1" x14ac:dyDescent="0.25">
      <c r="A1997" s="2" t="s">
        <v>1489</v>
      </c>
      <c r="B1997" s="2" t="s">
        <v>917</v>
      </c>
      <c r="C1997" s="3">
        <v>968.39</v>
      </c>
      <c r="D1997" s="3">
        <v>403.7</v>
      </c>
      <c r="E1997" s="3">
        <v>1000</v>
      </c>
      <c r="F1997" s="5">
        <v>0</v>
      </c>
    </row>
    <row r="1998" spans="1:6" ht="15" customHeight="1" x14ac:dyDescent="0.25">
      <c r="A1998" s="2" t="s">
        <v>1490</v>
      </c>
      <c r="B1998" s="2" t="s">
        <v>62</v>
      </c>
      <c r="C1998" s="3">
        <v>635.59</v>
      </c>
      <c r="D1998" s="3">
        <v>243.52</v>
      </c>
      <c r="E1998" s="3">
        <v>700</v>
      </c>
      <c r="F1998" s="5">
        <v>0</v>
      </c>
    </row>
    <row r="1999" spans="1:6" ht="15" customHeight="1" x14ac:dyDescent="0.25">
      <c r="A1999" s="2" t="s">
        <v>1491</v>
      </c>
      <c r="B1999" s="2" t="s">
        <v>1492</v>
      </c>
      <c r="C1999" s="3">
        <v>2619.62</v>
      </c>
      <c r="D1999" s="3">
        <v>24.36</v>
      </c>
      <c r="E1999" s="3">
        <v>500</v>
      </c>
      <c r="F1999" s="5">
        <v>0</v>
      </c>
    </row>
    <row r="2000" spans="1:6" ht="15" customHeight="1" x14ac:dyDescent="0.25">
      <c r="A2000" s="2" t="s">
        <v>1493</v>
      </c>
      <c r="B2000" s="2" t="s">
        <v>1303</v>
      </c>
      <c r="C2000" s="3">
        <v>138148.94</v>
      </c>
      <c r="D2000" s="3">
        <v>51456.71</v>
      </c>
      <c r="E2000" s="3">
        <v>103770</v>
      </c>
      <c r="F2000" s="5">
        <v>0</v>
      </c>
    </row>
    <row r="2001" spans="1:6" ht="15" customHeight="1" x14ac:dyDescent="0.25">
      <c r="A2001" s="2" t="s">
        <v>1494</v>
      </c>
      <c r="B2001" s="2" t="s">
        <v>1495</v>
      </c>
      <c r="C2001" s="3">
        <v>648347.09</v>
      </c>
      <c r="D2001" s="3">
        <v>239725.84</v>
      </c>
      <c r="E2001" s="3">
        <v>436693</v>
      </c>
      <c r="F2001" s="5">
        <v>0</v>
      </c>
    </row>
    <row r="2002" spans="1:6" ht="15" customHeight="1" x14ac:dyDescent="0.25">
      <c r="A2002" s="1" t="s">
        <v>1306</v>
      </c>
      <c r="B2002" s="1" t="s">
        <v>2</v>
      </c>
      <c r="C2002" s="4">
        <v>1228108.8799999999</v>
      </c>
      <c r="D2002" s="4">
        <v>541235.81999999995</v>
      </c>
      <c r="E2002" s="6">
        <f>SUM(E1978:E2001)</f>
        <v>1025366.94</v>
      </c>
      <c r="F2002" s="6">
        <f>SUM(F1978:F2001)</f>
        <v>0</v>
      </c>
    </row>
    <row r="2003" spans="1:6" x14ac:dyDescent="0.25">
      <c r="A2003" s="1" t="s">
        <v>2</v>
      </c>
      <c r="B2003" s="1" t="s">
        <v>2</v>
      </c>
      <c r="C2003" s="1" t="s">
        <v>2</v>
      </c>
      <c r="D2003" s="1" t="s">
        <v>2</v>
      </c>
      <c r="E2003" s="1" t="s">
        <v>2</v>
      </c>
      <c r="F2003" s="1" t="s">
        <v>2</v>
      </c>
    </row>
    <row r="2004" spans="1:6" ht="15" customHeight="1" x14ac:dyDescent="0.25">
      <c r="A2004" s="1" t="s">
        <v>1307</v>
      </c>
      <c r="B2004" s="1" t="s">
        <v>2</v>
      </c>
    </row>
    <row r="2005" spans="1:6" ht="15" customHeight="1" x14ac:dyDescent="0.25">
      <c r="A2005" s="2" t="s">
        <v>1496</v>
      </c>
      <c r="B2005" s="2" t="s">
        <v>108</v>
      </c>
      <c r="C2005" s="3">
        <v>175028.05</v>
      </c>
      <c r="D2005" s="3">
        <v>99088.3</v>
      </c>
      <c r="E2005" s="3">
        <v>170679.92</v>
      </c>
      <c r="F2005" s="5">
        <v>0</v>
      </c>
    </row>
    <row r="2006" spans="1:6" ht="15" customHeight="1" x14ac:dyDescent="0.25">
      <c r="A2006" s="2" t="s">
        <v>1497</v>
      </c>
      <c r="B2006" s="2" t="s">
        <v>786</v>
      </c>
      <c r="C2006" s="3">
        <v>6624.39</v>
      </c>
      <c r="D2006" s="3">
        <v>457.41</v>
      </c>
      <c r="E2006" s="3">
        <v>5914.57</v>
      </c>
      <c r="F2006" s="5">
        <v>0</v>
      </c>
    </row>
    <row r="2007" spans="1:6" ht="15" customHeight="1" x14ac:dyDescent="0.25">
      <c r="A2007" s="2" t="s">
        <v>1498</v>
      </c>
      <c r="B2007" s="2" t="s">
        <v>29</v>
      </c>
      <c r="C2007" s="3">
        <v>48220.59</v>
      </c>
      <c r="D2007" s="3">
        <v>28194.65</v>
      </c>
      <c r="E2007" s="3">
        <v>54515.93</v>
      </c>
      <c r="F2007" s="5">
        <v>0</v>
      </c>
    </row>
    <row r="2008" spans="1:6" ht="15" customHeight="1" x14ac:dyDescent="0.25">
      <c r="A2008" s="2" t="s">
        <v>1499</v>
      </c>
      <c r="B2008" s="2" t="s">
        <v>128</v>
      </c>
      <c r="C2008" s="3">
        <v>4028.14</v>
      </c>
      <c r="D2008" s="3">
        <v>1858.18</v>
      </c>
      <c r="E2008" s="3">
        <v>4438.3500000000004</v>
      </c>
      <c r="F2008" s="5">
        <v>0</v>
      </c>
    </row>
    <row r="2009" spans="1:6" ht="15" customHeight="1" x14ac:dyDescent="0.25">
      <c r="A2009" s="2" t="s">
        <v>1500</v>
      </c>
      <c r="B2009" s="2" t="s">
        <v>33</v>
      </c>
      <c r="C2009" s="3">
        <v>23149.99</v>
      </c>
      <c r="D2009" s="3">
        <v>11928.2</v>
      </c>
      <c r="E2009" s="3">
        <v>19476.259999999998</v>
      </c>
      <c r="F2009" s="5">
        <v>0</v>
      </c>
    </row>
    <row r="2010" spans="1:6" ht="15" customHeight="1" x14ac:dyDescent="0.25">
      <c r="A2010" s="2" t="s">
        <v>1501</v>
      </c>
      <c r="B2010" s="2" t="s">
        <v>11</v>
      </c>
      <c r="C2010" s="3">
        <v>13194.88</v>
      </c>
      <c r="D2010" s="3">
        <v>7465.78</v>
      </c>
      <c r="E2010" s="3">
        <v>13057.01</v>
      </c>
      <c r="F2010" s="5">
        <v>0</v>
      </c>
    </row>
    <row r="2011" spans="1:6" ht="15" customHeight="1" x14ac:dyDescent="0.25">
      <c r="A2011" s="2" t="s">
        <v>1502</v>
      </c>
      <c r="B2011" s="2" t="s">
        <v>85</v>
      </c>
      <c r="C2011" s="3">
        <v>1513.52</v>
      </c>
      <c r="D2011" s="3">
        <v>989.7</v>
      </c>
      <c r="E2011" s="3">
        <v>1122</v>
      </c>
      <c r="F2011" s="5">
        <v>0</v>
      </c>
    </row>
    <row r="2012" spans="1:6" ht="15" customHeight="1" x14ac:dyDescent="0.25">
      <c r="A2012" s="2" t="s">
        <v>1503</v>
      </c>
      <c r="B2012" s="2" t="s">
        <v>13</v>
      </c>
      <c r="C2012" s="3">
        <v>266.74</v>
      </c>
      <c r="D2012" s="3">
        <v>217.05</v>
      </c>
      <c r="E2012" s="3">
        <v>259.58999999999997</v>
      </c>
      <c r="F2012" s="5">
        <v>0</v>
      </c>
    </row>
    <row r="2013" spans="1:6" ht="15" customHeight="1" x14ac:dyDescent="0.25">
      <c r="A2013" s="2" t="s">
        <v>1504</v>
      </c>
      <c r="B2013" s="2" t="s">
        <v>577</v>
      </c>
      <c r="C2013" s="3">
        <v>142.97999999999999</v>
      </c>
      <c r="D2013" s="3">
        <v>7.53</v>
      </c>
      <c r="E2013" s="3">
        <v>157.81</v>
      </c>
      <c r="F2013" s="5">
        <v>0</v>
      </c>
    </row>
    <row r="2014" spans="1:6" ht="15" customHeight="1" x14ac:dyDescent="0.25">
      <c r="A2014" s="2" t="s">
        <v>1505</v>
      </c>
      <c r="B2014" s="2" t="s">
        <v>579</v>
      </c>
      <c r="C2014" s="3">
        <v>838.06</v>
      </c>
      <c r="D2014" s="3">
        <v>52.33</v>
      </c>
      <c r="E2014" s="3">
        <v>721.1</v>
      </c>
      <c r="F2014" s="5">
        <v>0</v>
      </c>
    </row>
    <row r="2015" spans="1:6" ht="15" customHeight="1" x14ac:dyDescent="0.25">
      <c r="A2015" s="2" t="s">
        <v>1506</v>
      </c>
      <c r="B2015" s="2" t="s">
        <v>581</v>
      </c>
      <c r="C2015" s="3">
        <v>500.36</v>
      </c>
      <c r="D2015" s="3">
        <v>34.58</v>
      </c>
      <c r="E2015" s="3">
        <v>452.46</v>
      </c>
      <c r="F2015" s="5">
        <v>0</v>
      </c>
    </row>
    <row r="2016" spans="1:6" ht="15" customHeight="1" x14ac:dyDescent="0.25">
      <c r="A2016" s="2" t="s">
        <v>1507</v>
      </c>
      <c r="B2016" s="2" t="s">
        <v>458</v>
      </c>
      <c r="C2016" s="3">
        <v>591.63</v>
      </c>
      <c r="D2016" s="3">
        <v>158.32</v>
      </c>
      <c r="E2016" s="3">
        <v>635.42999999999995</v>
      </c>
      <c r="F2016" s="5">
        <v>0</v>
      </c>
    </row>
    <row r="2017" spans="1:6" ht="15" customHeight="1" x14ac:dyDescent="0.25">
      <c r="A2017" s="2" t="s">
        <v>1508</v>
      </c>
      <c r="B2017" s="2" t="s">
        <v>585</v>
      </c>
      <c r="C2017" s="3">
        <v>300</v>
      </c>
      <c r="D2017" s="3">
        <v>0</v>
      </c>
      <c r="E2017" s="3">
        <v>135</v>
      </c>
      <c r="F2017" s="5">
        <v>0</v>
      </c>
    </row>
    <row r="2018" spans="1:6" ht="15" customHeight="1" x14ac:dyDescent="0.25">
      <c r="A2018" s="2" t="s">
        <v>1509</v>
      </c>
      <c r="B2018" s="2" t="s">
        <v>1510</v>
      </c>
      <c r="C2018" s="3">
        <v>54742.64</v>
      </c>
      <c r="D2018" s="3">
        <v>15655.89</v>
      </c>
      <c r="E2018" s="3">
        <v>75000</v>
      </c>
      <c r="F2018" s="5">
        <v>0</v>
      </c>
    </row>
    <row r="2019" spans="1:6" ht="15" customHeight="1" x14ac:dyDescent="0.25">
      <c r="A2019" s="2" t="s">
        <v>1511</v>
      </c>
      <c r="B2019" s="2" t="s">
        <v>905</v>
      </c>
      <c r="C2019" s="3">
        <v>4691.6400000000003</v>
      </c>
      <c r="D2019" s="3">
        <v>315.51</v>
      </c>
      <c r="E2019" s="3">
        <v>2500</v>
      </c>
      <c r="F2019" s="5">
        <v>0</v>
      </c>
    </row>
    <row r="2020" spans="1:6" x14ac:dyDescent="0.25">
      <c r="A2020" s="2" t="s">
        <v>1512</v>
      </c>
      <c r="B2020" s="2" t="s">
        <v>1513</v>
      </c>
      <c r="C2020" s="3">
        <v>3645.42</v>
      </c>
      <c r="D2020" s="3">
        <v>611.02</v>
      </c>
      <c r="E2020" s="3">
        <v>2500</v>
      </c>
      <c r="F2020" s="5">
        <v>0</v>
      </c>
    </row>
    <row r="2021" spans="1:6" x14ac:dyDescent="0.25">
      <c r="A2021" s="2" t="s">
        <v>1514</v>
      </c>
      <c r="B2021" s="2" t="s">
        <v>1515</v>
      </c>
      <c r="C2021" s="3">
        <v>0</v>
      </c>
      <c r="D2021" s="3">
        <v>22906.61</v>
      </c>
      <c r="E2021" s="3">
        <v>0</v>
      </c>
      <c r="F2021" s="5">
        <v>0</v>
      </c>
    </row>
    <row r="2022" spans="1:6" ht="15" customHeight="1" x14ac:dyDescent="0.25">
      <c r="A2022" s="2" t="s">
        <v>1516</v>
      </c>
      <c r="B2022" s="2" t="s">
        <v>17</v>
      </c>
      <c r="C2022" s="3">
        <v>0</v>
      </c>
      <c r="D2022" s="3">
        <v>0</v>
      </c>
      <c r="E2022" s="3">
        <v>0</v>
      </c>
      <c r="F2022" s="5">
        <v>0</v>
      </c>
    </row>
    <row r="2023" spans="1:6" ht="15" customHeight="1" x14ac:dyDescent="0.25">
      <c r="A2023" s="2" t="s">
        <v>1517</v>
      </c>
      <c r="B2023" s="2" t="s">
        <v>947</v>
      </c>
      <c r="C2023" s="3">
        <v>0</v>
      </c>
      <c r="D2023" s="3">
        <v>0</v>
      </c>
      <c r="E2023" s="3">
        <v>0</v>
      </c>
      <c r="F2023" s="5">
        <v>0</v>
      </c>
    </row>
    <row r="2024" spans="1:6" ht="15" customHeight="1" x14ac:dyDescent="0.25">
      <c r="A2024" s="2" t="s">
        <v>1518</v>
      </c>
      <c r="B2024" s="2" t="s">
        <v>64</v>
      </c>
      <c r="C2024" s="3">
        <v>1236.82</v>
      </c>
      <c r="D2024" s="3">
        <v>229.65</v>
      </c>
      <c r="E2024" s="3">
        <v>2500</v>
      </c>
      <c r="F2024" s="5">
        <v>0</v>
      </c>
    </row>
    <row r="2025" spans="1:6" ht="15" customHeight="1" x14ac:dyDescent="0.25">
      <c r="A2025" s="2" t="s">
        <v>1519</v>
      </c>
      <c r="B2025" s="2" t="s">
        <v>956</v>
      </c>
      <c r="C2025" s="3">
        <v>490</v>
      </c>
      <c r="D2025" s="3">
        <v>0</v>
      </c>
      <c r="E2025" s="3">
        <v>1200</v>
      </c>
      <c r="F2025" s="5">
        <v>0</v>
      </c>
    </row>
    <row r="2026" spans="1:6" ht="15" customHeight="1" x14ac:dyDescent="0.25">
      <c r="A2026" s="1" t="s">
        <v>1336</v>
      </c>
      <c r="B2026" s="1" t="s">
        <v>2</v>
      </c>
      <c r="C2026" s="4">
        <v>339205.85</v>
      </c>
      <c r="D2026" s="4">
        <v>190170.71</v>
      </c>
      <c r="E2026" s="6">
        <f>SUM(E2005:E2025)</f>
        <v>355265.43000000005</v>
      </c>
      <c r="F2026" s="6">
        <f>SUM(F2005:F2025)</f>
        <v>0</v>
      </c>
    </row>
    <row r="2027" spans="1:6" x14ac:dyDescent="0.25">
      <c r="A2027" s="1" t="s">
        <v>2</v>
      </c>
      <c r="B2027" s="1" t="s">
        <v>2</v>
      </c>
      <c r="C2027" s="1" t="s">
        <v>2</v>
      </c>
      <c r="D2027" s="1" t="s">
        <v>2</v>
      </c>
      <c r="E2027" s="1" t="s">
        <v>2</v>
      </c>
      <c r="F2027" s="1" t="s">
        <v>2</v>
      </c>
    </row>
    <row r="2028" spans="1:6" ht="15" customHeight="1" x14ac:dyDescent="0.25">
      <c r="A2028" s="1" t="s">
        <v>1520</v>
      </c>
      <c r="B2028" s="1" t="s">
        <v>2</v>
      </c>
    </row>
    <row r="2029" spans="1:6" ht="15" customHeight="1" x14ac:dyDescent="0.25">
      <c r="A2029" s="2" t="s">
        <v>1521</v>
      </c>
      <c r="B2029" s="2" t="s">
        <v>144</v>
      </c>
      <c r="C2029" s="3">
        <v>0</v>
      </c>
      <c r="D2029" s="3">
        <v>0</v>
      </c>
      <c r="E2029" s="3">
        <v>0</v>
      </c>
      <c r="F2029" s="5">
        <v>0</v>
      </c>
    </row>
    <row r="2030" spans="1:6" ht="15" customHeight="1" x14ac:dyDescent="0.25">
      <c r="A2030" s="2" t="s">
        <v>1522</v>
      </c>
      <c r="B2030" s="2" t="s">
        <v>1523</v>
      </c>
      <c r="C2030" s="3">
        <v>446408.78</v>
      </c>
      <c r="D2030" s="3">
        <v>4142</v>
      </c>
      <c r="E2030" s="3">
        <v>135000</v>
      </c>
      <c r="F2030" s="5">
        <v>0</v>
      </c>
    </row>
    <row r="2031" spans="1:6" ht="15" customHeight="1" x14ac:dyDescent="0.25">
      <c r="A2031" s="2" t="s">
        <v>1524</v>
      </c>
      <c r="B2031" s="2" t="s">
        <v>1525</v>
      </c>
      <c r="C2031" s="3">
        <v>5194.57</v>
      </c>
      <c r="D2031" s="3">
        <v>3140.37</v>
      </c>
      <c r="E2031" s="3">
        <v>7000</v>
      </c>
      <c r="F2031" s="5">
        <v>0</v>
      </c>
    </row>
    <row r="2032" spans="1:6" ht="15" customHeight="1" x14ac:dyDescent="0.25">
      <c r="A2032" s="1" t="s">
        <v>1526</v>
      </c>
      <c r="B2032" s="1" t="s">
        <v>2</v>
      </c>
      <c r="C2032" s="4">
        <v>451603.35</v>
      </c>
      <c r="D2032" s="4">
        <v>7282.37</v>
      </c>
      <c r="E2032" s="6">
        <f>SUM(E2029:E2031)</f>
        <v>142000</v>
      </c>
      <c r="F2032" s="6">
        <f>SUM(F2029:F2031)</f>
        <v>0</v>
      </c>
    </row>
    <row r="2033" spans="1:6" x14ac:dyDescent="0.25">
      <c r="A2033" s="1" t="s">
        <v>2</v>
      </c>
      <c r="B2033" s="1" t="s">
        <v>2</v>
      </c>
      <c r="C2033" s="1" t="s">
        <v>2</v>
      </c>
      <c r="D2033" s="1" t="s">
        <v>2</v>
      </c>
      <c r="E2033" s="1" t="s">
        <v>2</v>
      </c>
      <c r="F2033" s="1" t="s">
        <v>2</v>
      </c>
    </row>
    <row r="2034" spans="1:6" ht="15" customHeight="1" x14ac:dyDescent="0.25">
      <c r="A2034" s="1" t="s">
        <v>1527</v>
      </c>
      <c r="B2034" s="1" t="s">
        <v>2</v>
      </c>
    </row>
    <row r="2035" spans="1:6" ht="15" customHeight="1" x14ac:dyDescent="0.25">
      <c r="A2035" s="2" t="s">
        <v>1528</v>
      </c>
      <c r="B2035" s="2" t="s">
        <v>786</v>
      </c>
      <c r="C2035" s="3">
        <v>34753.449999999997</v>
      </c>
      <c r="D2035" s="3">
        <v>18342.689999999999</v>
      </c>
      <c r="E2035" s="3">
        <v>0</v>
      </c>
      <c r="F2035" s="5">
        <v>0</v>
      </c>
    </row>
    <row r="2036" spans="1:6" ht="15" customHeight="1" x14ac:dyDescent="0.25">
      <c r="A2036" s="2" t="s">
        <v>1529</v>
      </c>
      <c r="B2036" s="2" t="s">
        <v>108</v>
      </c>
      <c r="C2036" s="3">
        <v>218452.35</v>
      </c>
      <c r="D2036" s="3">
        <v>102113.64</v>
      </c>
      <c r="E2036" s="3">
        <v>258550.04</v>
      </c>
      <c r="F2036" s="5">
        <v>0</v>
      </c>
    </row>
    <row r="2037" spans="1:6" ht="15" customHeight="1" x14ac:dyDescent="0.25">
      <c r="A2037" s="2" t="s">
        <v>1530</v>
      </c>
      <c r="B2037" s="2" t="s">
        <v>1341</v>
      </c>
      <c r="C2037" s="3">
        <v>0</v>
      </c>
      <c r="D2037" s="3">
        <v>0</v>
      </c>
      <c r="E2037" s="3">
        <v>2584</v>
      </c>
      <c r="F2037" s="5">
        <v>0</v>
      </c>
    </row>
    <row r="2038" spans="1:6" ht="15" customHeight="1" x14ac:dyDescent="0.25">
      <c r="A2038" s="2" t="s">
        <v>1531</v>
      </c>
      <c r="B2038" s="2" t="s">
        <v>29</v>
      </c>
      <c r="C2038" s="3">
        <v>59663.98</v>
      </c>
      <c r="D2038" s="3">
        <v>29962.43</v>
      </c>
      <c r="E2038" s="3">
        <v>67370.98</v>
      </c>
      <c r="F2038" s="5">
        <v>0</v>
      </c>
    </row>
    <row r="2039" spans="1:6" ht="15" customHeight="1" x14ac:dyDescent="0.25">
      <c r="A2039" s="2" t="s">
        <v>1532</v>
      </c>
      <c r="B2039" s="2" t="s">
        <v>128</v>
      </c>
      <c r="C2039" s="3">
        <v>4875.83</v>
      </c>
      <c r="D2039" s="3">
        <v>1674.85</v>
      </c>
      <c r="E2039" s="3">
        <v>6904.1</v>
      </c>
      <c r="F2039" s="5">
        <v>0</v>
      </c>
    </row>
    <row r="2040" spans="1:6" ht="15" customHeight="1" x14ac:dyDescent="0.25">
      <c r="A2040" s="2" t="s">
        <v>1533</v>
      </c>
      <c r="B2040" s="2" t="s">
        <v>33</v>
      </c>
      <c r="C2040" s="3">
        <v>24379.91</v>
      </c>
      <c r="D2040" s="3">
        <v>10295.31</v>
      </c>
      <c r="E2040" s="3">
        <v>30904.18</v>
      </c>
      <c r="F2040" s="5">
        <v>0</v>
      </c>
    </row>
    <row r="2041" spans="1:6" ht="15" customHeight="1" x14ac:dyDescent="0.25">
      <c r="A2041" s="2" t="s">
        <v>1534</v>
      </c>
      <c r="B2041" s="2" t="s">
        <v>11</v>
      </c>
      <c r="C2041" s="3">
        <v>16451.79</v>
      </c>
      <c r="D2041" s="3">
        <v>7685.62</v>
      </c>
      <c r="E2041" s="3">
        <v>19976.75</v>
      </c>
      <c r="F2041" s="5">
        <v>0</v>
      </c>
    </row>
    <row r="2042" spans="1:6" ht="15" customHeight="1" x14ac:dyDescent="0.25">
      <c r="A2042" s="2" t="s">
        <v>1535</v>
      </c>
      <c r="B2042" s="2" t="s">
        <v>1347</v>
      </c>
      <c r="C2042" s="3">
        <v>3921.86</v>
      </c>
      <c r="D2042" s="3">
        <v>1668.61</v>
      </c>
      <c r="E2042" s="3">
        <v>0</v>
      </c>
      <c r="F2042" s="5">
        <v>0</v>
      </c>
    </row>
    <row r="2043" spans="1:6" ht="15" customHeight="1" x14ac:dyDescent="0.25">
      <c r="A2043" s="2" t="s">
        <v>1536</v>
      </c>
      <c r="B2043" s="2" t="s">
        <v>13</v>
      </c>
      <c r="C2043" s="3">
        <v>370.77</v>
      </c>
      <c r="D2043" s="3">
        <v>256.23</v>
      </c>
      <c r="E2043" s="3">
        <v>383.87</v>
      </c>
      <c r="F2043" s="5">
        <v>0</v>
      </c>
    </row>
    <row r="2044" spans="1:6" ht="15" customHeight="1" x14ac:dyDescent="0.25">
      <c r="A2044" s="2" t="s">
        <v>1537</v>
      </c>
      <c r="B2044" s="2" t="s">
        <v>577</v>
      </c>
      <c r="C2044" s="3">
        <v>641.39</v>
      </c>
      <c r="D2044" s="3">
        <v>241.09</v>
      </c>
      <c r="E2044" s="3">
        <v>0</v>
      </c>
      <c r="F2044" s="5">
        <v>0</v>
      </c>
    </row>
    <row r="2045" spans="1:6" ht="15" customHeight="1" x14ac:dyDescent="0.25">
      <c r="A2045" s="2" t="s">
        <v>1538</v>
      </c>
      <c r="B2045" s="2" t="s">
        <v>579</v>
      </c>
      <c r="C2045" s="3">
        <v>3962.01</v>
      </c>
      <c r="D2045" s="3">
        <v>1908.65</v>
      </c>
      <c r="E2045" s="3">
        <v>0</v>
      </c>
      <c r="F2045" s="5">
        <v>0</v>
      </c>
    </row>
    <row r="2046" spans="1:6" ht="15" customHeight="1" x14ac:dyDescent="0.25">
      <c r="A2046" s="2" t="s">
        <v>1539</v>
      </c>
      <c r="B2046" s="2" t="s">
        <v>581</v>
      </c>
      <c r="C2046" s="3">
        <v>2621.31</v>
      </c>
      <c r="D2046" s="3">
        <v>1383.35</v>
      </c>
      <c r="E2046" s="3">
        <v>0</v>
      </c>
      <c r="F2046" s="5">
        <v>0</v>
      </c>
    </row>
    <row r="2047" spans="1:6" ht="15" customHeight="1" x14ac:dyDescent="0.25">
      <c r="A2047" s="2" t="s">
        <v>1540</v>
      </c>
      <c r="B2047" s="2" t="s">
        <v>458</v>
      </c>
      <c r="C2047" s="3">
        <v>789.84</v>
      </c>
      <c r="D2047" s="3">
        <v>268.69</v>
      </c>
      <c r="E2047" s="3">
        <v>825</v>
      </c>
      <c r="F2047" s="5">
        <v>0</v>
      </c>
    </row>
    <row r="2048" spans="1:6" x14ac:dyDescent="0.25">
      <c r="A2048" s="2" t="s">
        <v>1541</v>
      </c>
      <c r="B2048" s="2" t="s">
        <v>1542</v>
      </c>
      <c r="C2048" s="3">
        <v>31421.84</v>
      </c>
      <c r="D2048" s="3">
        <v>32071.93</v>
      </c>
      <c r="E2048" s="3">
        <v>80000</v>
      </c>
      <c r="F2048" s="5">
        <v>0</v>
      </c>
    </row>
    <row r="2049" spans="1:6" ht="15" customHeight="1" x14ac:dyDescent="0.25">
      <c r="A2049" s="2" t="s">
        <v>1543</v>
      </c>
      <c r="B2049" s="2" t="s">
        <v>1544</v>
      </c>
      <c r="C2049" s="3">
        <v>12243.44</v>
      </c>
      <c r="D2049" s="3">
        <v>8382.59</v>
      </c>
      <c r="E2049" s="3">
        <v>10000</v>
      </c>
      <c r="F2049" s="5">
        <v>0</v>
      </c>
    </row>
    <row r="2050" spans="1:6" ht="15" customHeight="1" x14ac:dyDescent="0.25">
      <c r="A2050" s="2" t="s">
        <v>1545</v>
      </c>
      <c r="B2050" s="2" t="s">
        <v>1546</v>
      </c>
      <c r="C2050" s="3">
        <v>0</v>
      </c>
      <c r="D2050" s="3">
        <v>0</v>
      </c>
      <c r="E2050" s="3">
        <v>0</v>
      </c>
      <c r="F2050" s="5">
        <v>0</v>
      </c>
    </row>
    <row r="2051" spans="1:6" ht="15" customHeight="1" x14ac:dyDescent="0.25">
      <c r="A2051" s="2" t="s">
        <v>1547</v>
      </c>
      <c r="B2051" s="2" t="s">
        <v>1548</v>
      </c>
      <c r="C2051" s="3">
        <v>109988.14</v>
      </c>
      <c r="D2051" s="3">
        <v>0</v>
      </c>
      <c r="E2051" s="3">
        <v>50000</v>
      </c>
      <c r="F2051" s="5">
        <v>0</v>
      </c>
    </row>
    <row r="2052" spans="1:6" x14ac:dyDescent="0.25">
      <c r="A2052" s="2" t="s">
        <v>1549</v>
      </c>
      <c r="B2052" s="2" t="s">
        <v>1550</v>
      </c>
      <c r="C2052" s="3">
        <v>79.61</v>
      </c>
      <c r="D2052" s="3">
        <v>0</v>
      </c>
      <c r="E2052" s="3">
        <v>0</v>
      </c>
      <c r="F2052" s="5">
        <v>0</v>
      </c>
    </row>
    <row r="2053" spans="1:6" ht="15" customHeight="1" x14ac:dyDescent="0.25">
      <c r="A2053" s="2" t="s">
        <v>1551</v>
      </c>
      <c r="B2053" s="2" t="s">
        <v>1370</v>
      </c>
      <c r="C2053" s="3">
        <v>2610.0100000000002</v>
      </c>
      <c r="D2053" s="3">
        <v>1165.45</v>
      </c>
      <c r="E2053" s="3">
        <v>2500</v>
      </c>
      <c r="F2053" s="5">
        <v>0</v>
      </c>
    </row>
    <row r="2054" spans="1:6" x14ac:dyDescent="0.25">
      <c r="A2054" s="2" t="s">
        <v>1552</v>
      </c>
      <c r="B2054" s="2" t="s">
        <v>1553</v>
      </c>
      <c r="C2054" s="3">
        <v>51940.959999999999</v>
      </c>
      <c r="D2054" s="3">
        <v>11770.31</v>
      </c>
      <c r="E2054" s="3">
        <v>40000</v>
      </c>
      <c r="F2054" s="5">
        <v>0</v>
      </c>
    </row>
    <row r="2055" spans="1:6" ht="15" customHeight="1" x14ac:dyDescent="0.25">
      <c r="A2055" s="2" t="s">
        <v>1554</v>
      </c>
      <c r="B2055" s="2" t="s">
        <v>1555</v>
      </c>
      <c r="C2055" s="3">
        <v>696.42</v>
      </c>
      <c r="D2055" s="3">
        <v>612</v>
      </c>
      <c r="E2055" s="3">
        <v>5000</v>
      </c>
      <c r="F2055" s="5">
        <v>0</v>
      </c>
    </row>
    <row r="2056" spans="1:6" ht="15" customHeight="1" x14ac:dyDescent="0.25">
      <c r="A2056" s="2" t="s">
        <v>1556</v>
      </c>
      <c r="B2056" s="2" t="s">
        <v>604</v>
      </c>
      <c r="C2056" s="3">
        <v>949.82</v>
      </c>
      <c r="D2056" s="3">
        <v>0</v>
      </c>
      <c r="E2056" s="3">
        <v>2500</v>
      </c>
      <c r="F2056" s="5">
        <v>0</v>
      </c>
    </row>
    <row r="2057" spans="1:6" ht="15" customHeight="1" x14ac:dyDescent="0.25">
      <c r="A2057" s="2" t="s">
        <v>1557</v>
      </c>
      <c r="B2057" s="2" t="s">
        <v>57</v>
      </c>
      <c r="C2057" s="3">
        <v>3307.7</v>
      </c>
      <c r="D2057" s="3">
        <v>1340.68</v>
      </c>
      <c r="E2057" s="3">
        <v>4000</v>
      </c>
      <c r="F2057" s="5">
        <v>0</v>
      </c>
    </row>
    <row r="2058" spans="1:6" ht="15" customHeight="1" x14ac:dyDescent="0.25">
      <c r="A2058" s="2" t="s">
        <v>1558</v>
      </c>
      <c r="B2058" s="2" t="s">
        <v>17</v>
      </c>
      <c r="C2058" s="3">
        <v>315.18</v>
      </c>
      <c r="D2058" s="3">
        <v>0</v>
      </c>
      <c r="E2058" s="3">
        <v>1200</v>
      </c>
      <c r="F2058" s="5">
        <v>0</v>
      </c>
    </row>
    <row r="2059" spans="1:6" ht="15" customHeight="1" x14ac:dyDescent="0.25">
      <c r="A2059" s="2" t="s">
        <v>1559</v>
      </c>
      <c r="B2059" s="2" t="s">
        <v>303</v>
      </c>
      <c r="C2059" s="3">
        <v>747.55</v>
      </c>
      <c r="D2059" s="3">
        <v>314.2</v>
      </c>
      <c r="E2059" s="3">
        <v>700</v>
      </c>
      <c r="F2059" s="5">
        <v>0</v>
      </c>
    </row>
    <row r="2060" spans="1:6" ht="15" customHeight="1" x14ac:dyDescent="0.25">
      <c r="A2060" s="2" t="s">
        <v>1560</v>
      </c>
      <c r="B2060" s="2" t="s">
        <v>305</v>
      </c>
      <c r="C2060" s="3">
        <v>283773.26</v>
      </c>
      <c r="D2060" s="3">
        <v>89713.89</v>
      </c>
      <c r="E2060" s="3">
        <v>275000</v>
      </c>
      <c r="F2060" s="5">
        <v>0</v>
      </c>
    </row>
    <row r="2061" spans="1:6" ht="15" customHeight="1" x14ac:dyDescent="0.25">
      <c r="A2061" s="2" t="s">
        <v>1561</v>
      </c>
      <c r="B2061" s="2" t="s">
        <v>1562</v>
      </c>
      <c r="C2061" s="3">
        <v>504</v>
      </c>
      <c r="D2061" s="3">
        <v>167.47</v>
      </c>
      <c r="E2061" s="3">
        <v>500</v>
      </c>
      <c r="F2061" s="5">
        <v>0</v>
      </c>
    </row>
    <row r="2062" spans="1:6" ht="15" customHeight="1" x14ac:dyDescent="0.25">
      <c r="A2062" s="2" t="s">
        <v>1563</v>
      </c>
      <c r="B2062" s="2" t="s">
        <v>1564</v>
      </c>
      <c r="C2062" s="3">
        <v>0</v>
      </c>
      <c r="D2062" s="3">
        <v>0</v>
      </c>
      <c r="E2062" s="3">
        <v>500</v>
      </c>
      <c r="F2062" s="5">
        <v>0</v>
      </c>
    </row>
    <row r="2063" spans="1:6" ht="15" customHeight="1" x14ac:dyDescent="0.25">
      <c r="A2063" s="2" t="s">
        <v>1565</v>
      </c>
      <c r="B2063" s="2" t="s">
        <v>947</v>
      </c>
      <c r="C2063" s="3">
        <v>372.98</v>
      </c>
      <c r="D2063" s="3">
        <v>151.58000000000001</v>
      </c>
      <c r="E2063" s="3">
        <v>25000</v>
      </c>
      <c r="F2063" s="5">
        <v>0</v>
      </c>
    </row>
    <row r="2064" spans="1:6" x14ac:dyDescent="0.25">
      <c r="A2064" s="2" t="s">
        <v>1566</v>
      </c>
      <c r="B2064" s="2" t="s">
        <v>1567</v>
      </c>
      <c r="C2064" s="3">
        <v>9463.18</v>
      </c>
      <c r="D2064" s="3">
        <v>817.62</v>
      </c>
      <c r="E2064" s="3">
        <v>25000</v>
      </c>
      <c r="F2064" s="5">
        <v>0</v>
      </c>
    </row>
    <row r="2065" spans="1:6" ht="15" customHeight="1" x14ac:dyDescent="0.25">
      <c r="A2065" s="2" t="s">
        <v>1568</v>
      </c>
      <c r="B2065" s="2" t="s">
        <v>1569</v>
      </c>
      <c r="C2065" s="3">
        <v>0</v>
      </c>
      <c r="D2065" s="3">
        <v>0</v>
      </c>
      <c r="E2065" s="3">
        <v>0</v>
      </c>
      <c r="F2065" s="5">
        <v>0</v>
      </c>
    </row>
    <row r="2066" spans="1:6" ht="15" customHeight="1" x14ac:dyDescent="0.25">
      <c r="A2066" s="2" t="s">
        <v>1570</v>
      </c>
      <c r="B2066" s="2" t="s">
        <v>64</v>
      </c>
      <c r="C2066" s="3">
        <v>1726.86</v>
      </c>
      <c r="D2066" s="3">
        <v>1388.46</v>
      </c>
      <c r="E2066" s="3">
        <v>1200</v>
      </c>
      <c r="F2066" s="5">
        <v>0</v>
      </c>
    </row>
    <row r="2067" spans="1:6" ht="15" customHeight="1" x14ac:dyDescent="0.25">
      <c r="A2067" s="2" t="s">
        <v>1571</v>
      </c>
      <c r="B2067" s="2" t="s">
        <v>1572</v>
      </c>
      <c r="C2067" s="3">
        <v>14043.81</v>
      </c>
      <c r="D2067" s="3">
        <v>6352.56</v>
      </c>
      <c r="E2067" s="3">
        <v>16000</v>
      </c>
      <c r="F2067" s="5">
        <v>0</v>
      </c>
    </row>
    <row r="2068" spans="1:6" ht="15" customHeight="1" x14ac:dyDescent="0.25">
      <c r="A2068" s="2" t="s">
        <v>1573</v>
      </c>
      <c r="B2068" s="2" t="s">
        <v>624</v>
      </c>
      <c r="C2068" s="3">
        <v>811.31</v>
      </c>
      <c r="D2068" s="3">
        <v>857.15</v>
      </c>
      <c r="E2068" s="3">
        <v>2000</v>
      </c>
      <c r="F2068" s="5">
        <v>0</v>
      </c>
    </row>
    <row r="2069" spans="1:6" ht="15" customHeight="1" x14ac:dyDescent="0.25">
      <c r="A2069" s="2" t="s">
        <v>1574</v>
      </c>
      <c r="B2069" s="2" t="s">
        <v>1575</v>
      </c>
      <c r="C2069" s="3">
        <v>1817.3</v>
      </c>
      <c r="D2069" s="3">
        <v>20</v>
      </c>
      <c r="E2069" s="3">
        <v>3000</v>
      </c>
      <c r="F2069" s="5">
        <v>0</v>
      </c>
    </row>
    <row r="2070" spans="1:6" ht="15" customHeight="1" x14ac:dyDescent="0.25">
      <c r="A2070" s="2" t="s">
        <v>1576</v>
      </c>
      <c r="B2070" s="2" t="s">
        <v>1577</v>
      </c>
      <c r="C2070" s="3">
        <v>1208</v>
      </c>
      <c r="D2070" s="3">
        <v>0</v>
      </c>
      <c r="E2070" s="3">
        <v>1500</v>
      </c>
      <c r="F2070" s="5">
        <v>0</v>
      </c>
    </row>
    <row r="2071" spans="1:6" ht="15" customHeight="1" x14ac:dyDescent="0.25">
      <c r="A2071" s="1" t="s">
        <v>1578</v>
      </c>
      <c r="B2071" s="1" t="s">
        <v>2</v>
      </c>
      <c r="C2071" s="4">
        <v>898905.86</v>
      </c>
      <c r="D2071" s="4">
        <v>330927.05</v>
      </c>
      <c r="E2071" s="6">
        <f>SUM(E2035:E2070)</f>
        <v>933098.91999999993</v>
      </c>
      <c r="F2071" s="6">
        <f>SUM(F2035:F2070)</f>
        <v>0</v>
      </c>
    </row>
    <row r="2072" spans="1:6" x14ac:dyDescent="0.25">
      <c r="A2072" s="1" t="s">
        <v>2</v>
      </c>
      <c r="B2072" s="1" t="s">
        <v>2</v>
      </c>
      <c r="C2072" s="1" t="s">
        <v>2</v>
      </c>
      <c r="D2072" s="1" t="s">
        <v>2</v>
      </c>
      <c r="E2072" s="1" t="s">
        <v>2</v>
      </c>
      <c r="F2072" s="1" t="s">
        <v>2</v>
      </c>
    </row>
    <row r="2073" spans="1:6" ht="15" customHeight="1" x14ac:dyDescent="0.25">
      <c r="A2073" s="1" t="s">
        <v>557</v>
      </c>
      <c r="B2073" s="1" t="s">
        <v>2</v>
      </c>
    </row>
    <row r="2074" spans="1:6" ht="15" customHeight="1" x14ac:dyDescent="0.25">
      <c r="A2074" s="2" t="s">
        <v>1579</v>
      </c>
      <c r="B2074" s="2" t="s">
        <v>1580</v>
      </c>
      <c r="C2074" s="3">
        <v>0</v>
      </c>
      <c r="D2074" s="3">
        <v>0</v>
      </c>
      <c r="E2074" s="3">
        <v>0</v>
      </c>
      <c r="F2074" s="5">
        <v>0</v>
      </c>
    </row>
    <row r="2075" spans="1:6" x14ac:dyDescent="0.25">
      <c r="A2075" s="2" t="s">
        <v>1581</v>
      </c>
      <c r="B2075" s="2" t="s">
        <v>1582</v>
      </c>
      <c r="C2075" s="3">
        <v>24846.03</v>
      </c>
      <c r="D2075" s="3">
        <v>2487.7199999999998</v>
      </c>
      <c r="E2075" s="3">
        <v>0</v>
      </c>
      <c r="F2075" s="5">
        <v>0</v>
      </c>
    </row>
    <row r="2076" spans="1:6" x14ac:dyDescent="0.25">
      <c r="A2076" s="2" t="s">
        <v>1583</v>
      </c>
      <c r="B2076" s="2" t="s">
        <v>1584</v>
      </c>
      <c r="C2076" s="3">
        <v>0</v>
      </c>
      <c r="D2076" s="3">
        <v>646.92999999999995</v>
      </c>
      <c r="E2076" s="3">
        <v>0</v>
      </c>
      <c r="F2076" s="5">
        <v>0</v>
      </c>
    </row>
    <row r="2077" spans="1:6" ht="15" customHeight="1" x14ac:dyDescent="0.25">
      <c r="A2077" s="2" t="s">
        <v>1585</v>
      </c>
      <c r="B2077" s="2" t="s">
        <v>850</v>
      </c>
      <c r="C2077" s="3">
        <v>0</v>
      </c>
      <c r="D2077" s="3">
        <v>0</v>
      </c>
      <c r="E2077" s="3">
        <v>0</v>
      </c>
      <c r="F2077" s="5">
        <v>0</v>
      </c>
    </row>
    <row r="2078" spans="1:6" ht="15" customHeight="1" x14ac:dyDescent="0.25">
      <c r="A2078" s="2" t="s">
        <v>1586</v>
      </c>
      <c r="B2078" s="2" t="s">
        <v>1402</v>
      </c>
      <c r="C2078" s="3">
        <v>0</v>
      </c>
      <c r="D2078" s="3">
        <v>0</v>
      </c>
      <c r="E2078" s="3">
        <v>0</v>
      </c>
      <c r="F2078" s="5">
        <v>0</v>
      </c>
    </row>
    <row r="2079" spans="1:6" ht="15" customHeight="1" x14ac:dyDescent="0.25">
      <c r="A2079" s="2" t="s">
        <v>1587</v>
      </c>
      <c r="B2079" s="2" t="s">
        <v>1588</v>
      </c>
      <c r="C2079" s="3">
        <v>0</v>
      </c>
      <c r="D2079" s="3">
        <v>0</v>
      </c>
      <c r="E2079" s="3">
        <v>0</v>
      </c>
      <c r="F2079" s="5">
        <v>0</v>
      </c>
    </row>
    <row r="2080" spans="1:6" ht="15" customHeight="1" x14ac:dyDescent="0.25">
      <c r="A2080" s="2" t="s">
        <v>1589</v>
      </c>
      <c r="B2080" s="2" t="s">
        <v>1590</v>
      </c>
      <c r="C2080" s="3">
        <v>0</v>
      </c>
      <c r="D2080" s="3">
        <v>0</v>
      </c>
      <c r="E2080" s="3">
        <v>0</v>
      </c>
      <c r="F2080" s="5">
        <v>0</v>
      </c>
    </row>
    <row r="2081" spans="1:6" ht="15" customHeight="1" x14ac:dyDescent="0.25">
      <c r="A2081" s="2" t="s">
        <v>1591</v>
      </c>
      <c r="B2081" s="2" t="s">
        <v>1592</v>
      </c>
      <c r="C2081" s="3">
        <v>0</v>
      </c>
      <c r="D2081" s="3">
        <v>0</v>
      </c>
      <c r="E2081" s="3">
        <v>0</v>
      </c>
      <c r="F2081" s="5">
        <v>0</v>
      </c>
    </row>
    <row r="2082" spans="1:6" ht="15" customHeight="1" x14ac:dyDescent="0.25">
      <c r="A2082" s="2" t="s">
        <v>1593</v>
      </c>
      <c r="B2082" s="2" t="s">
        <v>1594</v>
      </c>
      <c r="C2082" s="3">
        <v>0</v>
      </c>
      <c r="D2082" s="3">
        <v>0</v>
      </c>
      <c r="E2082" s="3">
        <v>0</v>
      </c>
      <c r="F2082" s="5">
        <v>0</v>
      </c>
    </row>
    <row r="2083" spans="1:6" x14ac:dyDescent="0.25">
      <c r="A2083" s="2" t="s">
        <v>1595</v>
      </c>
      <c r="B2083" s="2" t="s">
        <v>1596</v>
      </c>
      <c r="C2083" s="3">
        <v>0</v>
      </c>
      <c r="D2083" s="3">
        <v>0</v>
      </c>
      <c r="E2083" s="3">
        <v>0</v>
      </c>
      <c r="F2083" s="5">
        <v>0</v>
      </c>
    </row>
    <row r="2084" spans="1:6" ht="15" customHeight="1" x14ac:dyDescent="0.25">
      <c r="A2084" s="2" t="s">
        <v>1597</v>
      </c>
      <c r="B2084" s="2" t="s">
        <v>1598</v>
      </c>
      <c r="C2084" s="3">
        <v>0</v>
      </c>
      <c r="D2084" s="3">
        <v>0</v>
      </c>
      <c r="E2084" s="3">
        <v>0</v>
      </c>
      <c r="F2084" s="5">
        <v>0</v>
      </c>
    </row>
    <row r="2085" spans="1:6" ht="15" customHeight="1" x14ac:dyDescent="0.25">
      <c r="A2085" s="2" t="s">
        <v>1599</v>
      </c>
      <c r="B2085" s="2" t="s">
        <v>1600</v>
      </c>
      <c r="C2085" s="3">
        <v>0</v>
      </c>
      <c r="D2085" s="3">
        <v>0</v>
      </c>
      <c r="E2085" s="3">
        <v>0</v>
      </c>
      <c r="F2085" s="5">
        <v>0</v>
      </c>
    </row>
    <row r="2086" spans="1:6" ht="15" customHeight="1" x14ac:dyDescent="0.25">
      <c r="A2086" s="2" t="s">
        <v>1601</v>
      </c>
      <c r="B2086" s="2" t="s">
        <v>1602</v>
      </c>
      <c r="C2086" s="3">
        <v>0</v>
      </c>
      <c r="D2086" s="3">
        <v>0</v>
      </c>
      <c r="E2086" s="3">
        <v>0</v>
      </c>
      <c r="F2086" s="5">
        <v>0</v>
      </c>
    </row>
    <row r="2087" spans="1:6" ht="15" customHeight="1" x14ac:dyDescent="0.25">
      <c r="A2087" s="2" t="s">
        <v>1603</v>
      </c>
      <c r="B2087" s="2" t="s">
        <v>1604</v>
      </c>
      <c r="C2087" s="3">
        <v>0</v>
      </c>
      <c r="D2087" s="3">
        <v>0</v>
      </c>
      <c r="E2087" s="3">
        <v>0</v>
      </c>
      <c r="F2087" s="5">
        <v>0</v>
      </c>
    </row>
    <row r="2088" spans="1:6" x14ac:dyDescent="0.25">
      <c r="A2088" s="2" t="s">
        <v>1605</v>
      </c>
      <c r="B2088" s="2" t="s">
        <v>1606</v>
      </c>
      <c r="C2088" s="3">
        <v>357251.42</v>
      </c>
      <c r="D2088" s="3">
        <v>0</v>
      </c>
      <c r="E2088" s="3">
        <v>0</v>
      </c>
      <c r="F2088" s="5">
        <v>0</v>
      </c>
    </row>
    <row r="2089" spans="1:6" ht="15" customHeight="1" x14ac:dyDescent="0.25">
      <c r="A2089" s="2" t="s">
        <v>1607</v>
      </c>
      <c r="B2089" s="2" t="s">
        <v>1608</v>
      </c>
      <c r="C2089" s="3">
        <v>0</v>
      </c>
      <c r="D2089" s="3">
        <v>0</v>
      </c>
      <c r="E2089" s="3">
        <v>0</v>
      </c>
      <c r="F2089" s="5">
        <v>0</v>
      </c>
    </row>
    <row r="2090" spans="1:6" ht="15" customHeight="1" x14ac:dyDescent="0.25">
      <c r="A2090" s="2" t="s">
        <v>1609</v>
      </c>
      <c r="B2090" s="2" t="s">
        <v>1610</v>
      </c>
      <c r="C2090" s="3">
        <v>0</v>
      </c>
      <c r="D2090" s="3">
        <v>0</v>
      </c>
      <c r="E2090" s="3">
        <v>0</v>
      </c>
      <c r="F2090" s="5">
        <v>0</v>
      </c>
    </row>
    <row r="2091" spans="1:6" ht="15" customHeight="1" x14ac:dyDescent="0.25">
      <c r="A2091" s="2" t="s">
        <v>1611</v>
      </c>
      <c r="B2091" s="2" t="s">
        <v>1426</v>
      </c>
      <c r="C2091" s="3">
        <v>0</v>
      </c>
      <c r="D2091" s="3">
        <v>0</v>
      </c>
      <c r="E2091" s="3">
        <v>0</v>
      </c>
      <c r="F2091" s="5">
        <v>0</v>
      </c>
    </row>
    <row r="2092" spans="1:6" ht="15" customHeight="1" x14ac:dyDescent="0.25">
      <c r="A2092" s="2" t="s">
        <v>1612</v>
      </c>
      <c r="B2092" s="2" t="s">
        <v>1434</v>
      </c>
      <c r="C2092" s="3">
        <v>2023.97</v>
      </c>
      <c r="D2092" s="3">
        <v>215.53</v>
      </c>
      <c r="E2092" s="3">
        <v>300000</v>
      </c>
      <c r="F2092" s="5">
        <v>0</v>
      </c>
    </row>
    <row r="2093" spans="1:6" ht="15" customHeight="1" x14ac:dyDescent="0.25">
      <c r="A2093" s="2" t="s">
        <v>1613</v>
      </c>
      <c r="B2093" s="2" t="s">
        <v>1436</v>
      </c>
      <c r="C2093" s="3">
        <v>1029.28</v>
      </c>
      <c r="D2093" s="3">
        <v>579.46</v>
      </c>
      <c r="E2093" s="3">
        <v>0</v>
      </c>
      <c r="F2093" s="5">
        <v>0</v>
      </c>
    </row>
    <row r="2094" spans="1:6" x14ac:dyDescent="0.25">
      <c r="A2094" s="2" t="s">
        <v>1614</v>
      </c>
      <c r="B2094" s="2" t="s">
        <v>1615</v>
      </c>
      <c r="C2094" s="3">
        <v>0</v>
      </c>
      <c r="D2094" s="3">
        <v>168.8</v>
      </c>
      <c r="E2094" s="3">
        <v>500000</v>
      </c>
      <c r="F2094" s="5">
        <v>0</v>
      </c>
    </row>
    <row r="2095" spans="1:6" ht="15" customHeight="1" x14ac:dyDescent="0.25">
      <c r="A2095" s="1" t="s">
        <v>560</v>
      </c>
      <c r="B2095" s="1" t="s">
        <v>2</v>
      </c>
      <c r="C2095" s="4">
        <v>385150.7</v>
      </c>
      <c r="D2095" s="4">
        <v>4098.4399999999996</v>
      </c>
      <c r="E2095" s="6">
        <f>SUM(E2074:E2094)</f>
        <v>800000</v>
      </c>
      <c r="F2095" s="6">
        <f>SUM(F2074:F2094)</f>
        <v>0</v>
      </c>
    </row>
    <row r="2096" spans="1:6" x14ac:dyDescent="0.25">
      <c r="A2096" s="1" t="s">
        <v>2</v>
      </c>
      <c r="B2096" s="1" t="s">
        <v>2</v>
      </c>
      <c r="C2096" s="1" t="s">
        <v>2</v>
      </c>
      <c r="D2096" s="1" t="s">
        <v>2</v>
      </c>
      <c r="E2096" s="1" t="s">
        <v>2</v>
      </c>
      <c r="F2096" s="1" t="s">
        <v>2</v>
      </c>
    </row>
    <row r="2097" spans="1:6" ht="15" customHeight="1" x14ac:dyDescent="0.25">
      <c r="A2097" s="1" t="s">
        <v>706</v>
      </c>
      <c r="B2097" s="1" t="s">
        <v>2</v>
      </c>
    </row>
    <row r="2098" spans="1:6" x14ac:dyDescent="0.25">
      <c r="A2098" s="2" t="s">
        <v>1616</v>
      </c>
      <c r="B2098" s="2" t="s">
        <v>1617</v>
      </c>
      <c r="C2098" s="3">
        <v>695259.19</v>
      </c>
      <c r="D2098" s="3">
        <v>0</v>
      </c>
      <c r="E2098" s="3">
        <v>695902</v>
      </c>
      <c r="F2098" s="5">
        <v>0</v>
      </c>
    </row>
    <row r="2099" spans="1:6" ht="15" customHeight="1" x14ac:dyDescent="0.25">
      <c r="A2099" s="2" t="s">
        <v>1618</v>
      </c>
      <c r="B2099" s="2" t="s">
        <v>1459</v>
      </c>
      <c r="C2099" s="3">
        <v>13909.32</v>
      </c>
      <c r="D2099" s="3">
        <v>0</v>
      </c>
      <c r="E2099" s="3">
        <v>10821</v>
      </c>
      <c r="F2099" s="5">
        <v>0</v>
      </c>
    </row>
    <row r="2100" spans="1:6" x14ac:dyDescent="0.25">
      <c r="A2100" s="2" t="s">
        <v>1619</v>
      </c>
      <c r="B2100" s="2" t="s">
        <v>1620</v>
      </c>
      <c r="C2100" s="3">
        <v>0</v>
      </c>
      <c r="D2100" s="3">
        <v>0</v>
      </c>
      <c r="E2100" s="3">
        <v>0</v>
      </c>
      <c r="F2100" s="5">
        <v>0</v>
      </c>
    </row>
    <row r="2101" spans="1:6" ht="15" customHeight="1" x14ac:dyDescent="0.25">
      <c r="A2101" s="2" t="s">
        <v>1621</v>
      </c>
      <c r="B2101" s="2" t="s">
        <v>1025</v>
      </c>
      <c r="C2101" s="3">
        <v>0</v>
      </c>
      <c r="D2101" s="3">
        <v>0</v>
      </c>
      <c r="E2101" s="3">
        <v>67500</v>
      </c>
      <c r="F2101" s="5">
        <v>0</v>
      </c>
    </row>
    <row r="2102" spans="1:6" ht="15" customHeight="1" x14ac:dyDescent="0.25">
      <c r="A2102" s="2" t="s">
        <v>1622</v>
      </c>
      <c r="B2102" s="2" t="s">
        <v>1027</v>
      </c>
      <c r="C2102" s="3">
        <v>0</v>
      </c>
      <c r="D2102" s="3">
        <v>0</v>
      </c>
      <c r="E2102" s="3">
        <v>10000</v>
      </c>
      <c r="F2102" s="5">
        <v>0</v>
      </c>
    </row>
    <row r="2103" spans="1:6" ht="15" customHeight="1" x14ac:dyDescent="0.25">
      <c r="A2103" s="2" t="s">
        <v>1623</v>
      </c>
      <c r="B2103" s="2" t="s">
        <v>1029</v>
      </c>
      <c r="C2103" s="3">
        <v>0</v>
      </c>
      <c r="D2103" s="3">
        <v>0</v>
      </c>
      <c r="E2103" s="3">
        <v>10000</v>
      </c>
      <c r="F2103" s="5">
        <v>0</v>
      </c>
    </row>
    <row r="2104" spans="1:6" ht="15" customHeight="1" x14ac:dyDescent="0.25">
      <c r="A2104" s="2" t="s">
        <v>1624</v>
      </c>
      <c r="B2104" s="2" t="s">
        <v>1031</v>
      </c>
      <c r="C2104" s="3">
        <v>0</v>
      </c>
      <c r="D2104" s="3">
        <v>0</v>
      </c>
      <c r="E2104" s="3">
        <v>2500</v>
      </c>
      <c r="F2104" s="5">
        <v>0</v>
      </c>
    </row>
    <row r="2105" spans="1:6" x14ac:dyDescent="0.25">
      <c r="A2105" s="2" t="s">
        <v>1625</v>
      </c>
      <c r="B2105" s="2" t="s">
        <v>1035</v>
      </c>
      <c r="C2105" s="3">
        <v>0</v>
      </c>
      <c r="D2105" s="3">
        <v>0</v>
      </c>
      <c r="E2105" s="3">
        <v>2500</v>
      </c>
      <c r="F2105" s="5">
        <v>0</v>
      </c>
    </row>
    <row r="2106" spans="1:6" ht="15" customHeight="1" x14ac:dyDescent="0.25">
      <c r="A2106" s="2" t="s">
        <v>1626</v>
      </c>
      <c r="B2106" s="2" t="s">
        <v>1037</v>
      </c>
      <c r="C2106" s="3">
        <v>0</v>
      </c>
      <c r="D2106" s="3">
        <v>0</v>
      </c>
      <c r="E2106" s="3">
        <v>1750</v>
      </c>
      <c r="F2106" s="5">
        <v>0</v>
      </c>
    </row>
    <row r="2107" spans="1:6" ht="15" customHeight="1" x14ac:dyDescent="0.25">
      <c r="A2107" s="2" t="s">
        <v>1627</v>
      </c>
      <c r="B2107" s="2" t="s">
        <v>1628</v>
      </c>
      <c r="C2107" s="3">
        <v>0</v>
      </c>
      <c r="D2107" s="3">
        <v>0</v>
      </c>
      <c r="E2107" s="3">
        <v>0</v>
      </c>
      <c r="F2107" s="5">
        <v>0</v>
      </c>
    </row>
    <row r="2108" spans="1:6" ht="15" customHeight="1" x14ac:dyDescent="0.25">
      <c r="A2108" s="2" t="s">
        <v>1629</v>
      </c>
      <c r="B2108" s="2" t="s">
        <v>1007</v>
      </c>
      <c r="C2108" s="3">
        <v>0</v>
      </c>
      <c r="D2108" s="3">
        <v>0</v>
      </c>
      <c r="E2108" s="3">
        <v>0</v>
      </c>
      <c r="F2108" s="5">
        <v>0</v>
      </c>
    </row>
    <row r="2109" spans="1:6" x14ac:dyDescent="0.25">
      <c r="A2109" s="2" t="s">
        <v>1630</v>
      </c>
      <c r="B2109" s="2" t="s">
        <v>1009</v>
      </c>
      <c r="C2109" s="3">
        <v>23850.65</v>
      </c>
      <c r="D2109" s="3">
        <v>0</v>
      </c>
      <c r="E2109" s="3">
        <v>0</v>
      </c>
      <c r="F2109" s="5">
        <v>0</v>
      </c>
    </row>
    <row r="2110" spans="1:6" x14ac:dyDescent="0.25">
      <c r="A2110" s="2" t="s">
        <v>1631</v>
      </c>
      <c r="B2110" s="2" t="s">
        <v>1632</v>
      </c>
      <c r="C2110" s="3">
        <v>0</v>
      </c>
      <c r="D2110" s="3">
        <v>0</v>
      </c>
      <c r="E2110" s="3">
        <v>0</v>
      </c>
      <c r="F2110" s="5">
        <v>0</v>
      </c>
    </row>
    <row r="2111" spans="1:6" ht="15" customHeight="1" x14ac:dyDescent="0.25">
      <c r="A2111" s="2" t="s">
        <v>1633</v>
      </c>
      <c r="B2111" s="2" t="s">
        <v>1013</v>
      </c>
      <c r="C2111" s="3">
        <v>17643.03</v>
      </c>
      <c r="D2111" s="3">
        <v>0</v>
      </c>
      <c r="E2111" s="3">
        <v>0</v>
      </c>
      <c r="F2111" s="5">
        <v>0</v>
      </c>
    </row>
    <row r="2112" spans="1:6" ht="15" customHeight="1" x14ac:dyDescent="0.25">
      <c r="A2112" s="2" t="s">
        <v>1634</v>
      </c>
      <c r="B2112" s="2" t="s">
        <v>1015</v>
      </c>
      <c r="C2112" s="3">
        <v>8581.1299999999992</v>
      </c>
      <c r="D2112" s="3">
        <v>0</v>
      </c>
      <c r="E2112" s="3">
        <v>0</v>
      </c>
      <c r="F2112" s="5">
        <v>0</v>
      </c>
    </row>
    <row r="2113" spans="1:7" ht="15" customHeight="1" x14ac:dyDescent="0.25">
      <c r="A2113" s="2" t="s">
        <v>1635</v>
      </c>
      <c r="B2113" s="2" t="s">
        <v>1636</v>
      </c>
      <c r="C2113" s="3">
        <v>58284.73</v>
      </c>
      <c r="D2113" s="3">
        <v>0</v>
      </c>
      <c r="E2113" s="3">
        <v>0</v>
      </c>
      <c r="F2113" s="5">
        <v>0</v>
      </c>
    </row>
    <row r="2114" spans="1:7" x14ac:dyDescent="0.25">
      <c r="A2114" s="2" t="s">
        <v>1637</v>
      </c>
      <c r="B2114" s="2" t="s">
        <v>1638</v>
      </c>
      <c r="C2114" s="3">
        <v>1000000</v>
      </c>
      <c r="D2114" s="3">
        <v>0</v>
      </c>
      <c r="E2114" s="3">
        <v>3000000</v>
      </c>
      <c r="F2114" s="5">
        <v>0</v>
      </c>
    </row>
    <row r="2115" spans="1:7" ht="15" customHeight="1" x14ac:dyDescent="0.25">
      <c r="A2115" s="1" t="s">
        <v>737</v>
      </c>
      <c r="B2115" s="1" t="s">
        <v>2</v>
      </c>
      <c r="C2115" s="4">
        <v>1817528.05</v>
      </c>
      <c r="D2115" s="4">
        <v>0</v>
      </c>
      <c r="E2115" s="6">
        <f>SUM(E2098:E2114)</f>
        <v>3800973</v>
      </c>
      <c r="F2115" s="6">
        <f>SUM(F2098:F2114)</f>
        <v>0</v>
      </c>
    </row>
    <row r="2116" spans="1:7" x14ac:dyDescent="0.25">
      <c r="A2116" s="1" t="s">
        <v>2</v>
      </c>
      <c r="B2116" s="1" t="s">
        <v>2</v>
      </c>
      <c r="C2116" s="1" t="s">
        <v>2</v>
      </c>
      <c r="D2116" s="1" t="s">
        <v>2</v>
      </c>
      <c r="E2116" s="1" t="s">
        <v>2</v>
      </c>
      <c r="F2116" s="1" t="s">
        <v>2</v>
      </c>
    </row>
    <row r="2117" spans="1:7" ht="15" customHeight="1" x14ac:dyDescent="0.25">
      <c r="A2117" s="1" t="s">
        <v>698</v>
      </c>
      <c r="B2117" s="1" t="s">
        <v>2</v>
      </c>
    </row>
    <row r="2118" spans="1:7" ht="15" customHeight="1" x14ac:dyDescent="0.25">
      <c r="A2118" s="2" t="s">
        <v>1639</v>
      </c>
      <c r="B2118" s="2" t="s">
        <v>700</v>
      </c>
      <c r="C2118" s="3">
        <v>0</v>
      </c>
      <c r="D2118" s="3">
        <v>0</v>
      </c>
      <c r="E2118" s="3">
        <v>0</v>
      </c>
      <c r="F2118" s="5">
        <v>0</v>
      </c>
    </row>
    <row r="2119" spans="1:7" ht="15" customHeight="1" x14ac:dyDescent="0.25">
      <c r="A2119" s="2" t="s">
        <v>1640</v>
      </c>
      <c r="B2119" s="2" t="s">
        <v>704</v>
      </c>
      <c r="C2119" s="3">
        <v>15433.06</v>
      </c>
      <c r="D2119" s="3">
        <v>0</v>
      </c>
      <c r="E2119" s="3">
        <v>0</v>
      </c>
      <c r="F2119" s="5">
        <v>0</v>
      </c>
    </row>
    <row r="2120" spans="1:7" ht="15" customHeight="1" x14ac:dyDescent="0.25">
      <c r="A2120" s="2" t="s">
        <v>1641</v>
      </c>
      <c r="B2120" s="2" t="s">
        <v>1642</v>
      </c>
      <c r="C2120" s="3">
        <v>0</v>
      </c>
      <c r="D2120" s="3">
        <v>0</v>
      </c>
      <c r="E2120" s="3">
        <v>0</v>
      </c>
      <c r="F2120" s="5">
        <v>0</v>
      </c>
    </row>
    <row r="2121" spans="1:7" ht="15" customHeight="1" x14ac:dyDescent="0.25">
      <c r="A2121" s="1" t="s">
        <v>705</v>
      </c>
      <c r="B2121" s="1" t="s">
        <v>2</v>
      </c>
      <c r="C2121" s="4">
        <v>15433.06</v>
      </c>
      <c r="D2121" s="4">
        <v>0</v>
      </c>
      <c r="E2121" s="6">
        <f>SUM(E2118:E2120)</f>
        <v>0</v>
      </c>
      <c r="F2121" s="6">
        <f>SUM(F2118:F2120)</f>
        <v>0</v>
      </c>
    </row>
    <row r="2122" spans="1:7" x14ac:dyDescent="0.25">
      <c r="A2122" s="1" t="s">
        <v>2</v>
      </c>
      <c r="B2122" s="1" t="s">
        <v>2</v>
      </c>
      <c r="C2122" s="1" t="s">
        <v>2</v>
      </c>
      <c r="D2122" s="1" t="s">
        <v>2</v>
      </c>
      <c r="E2122" s="1" t="s">
        <v>2</v>
      </c>
      <c r="F2122" s="1" t="s">
        <v>2</v>
      </c>
    </row>
    <row r="2123" spans="1:7" x14ac:dyDescent="0.25">
      <c r="A2123" s="1" t="s">
        <v>1643</v>
      </c>
      <c r="B2123" s="1" t="s">
        <v>2</v>
      </c>
      <c r="C2123" s="4">
        <v>5135935.75</v>
      </c>
      <c r="D2123" s="4">
        <v>1073714.3899999999</v>
      </c>
      <c r="E2123" s="6">
        <f>E2121+E2115+E2095+E2071+E2032+E2026+E2002</f>
        <v>7056704.2899999991</v>
      </c>
      <c r="F2123" s="6">
        <f>F2121+F2115+F2095+F2071+F2032+F2026+F2002</f>
        <v>0</v>
      </c>
    </row>
    <row r="2124" spans="1:7" ht="15" customHeight="1" x14ac:dyDescent="0.25">
      <c r="A2124" s="25" t="s">
        <v>3015</v>
      </c>
      <c r="B2124" s="25" t="s">
        <v>2</v>
      </c>
      <c r="C2124" s="33">
        <f>C1915+C1974-C2123</f>
        <v>9003322.3399999999</v>
      </c>
      <c r="D2124" s="33">
        <f t="shared" ref="D2124:F2124" si="27">D1915+D1974-D2123</f>
        <v>11305868.699999999</v>
      </c>
      <c r="E2124" s="33">
        <f t="shared" si="27"/>
        <v>8013870.0500000007</v>
      </c>
      <c r="F2124" s="33">
        <f t="shared" si="27"/>
        <v>8013870.0500000007</v>
      </c>
      <c r="G2124" s="25"/>
    </row>
    <row r="2125" spans="1:7" x14ac:dyDescent="0.25">
      <c r="A2125" s="1" t="s">
        <v>2</v>
      </c>
      <c r="B2125" s="1" t="s">
        <v>2</v>
      </c>
      <c r="C2125" s="1" t="s">
        <v>2</v>
      </c>
      <c r="D2125" s="1" t="s">
        <v>2</v>
      </c>
      <c r="E2125" s="1" t="s">
        <v>2</v>
      </c>
      <c r="F2125" s="1" t="s">
        <v>2</v>
      </c>
    </row>
    <row r="2126" spans="1:7" ht="15" customHeight="1" x14ac:dyDescent="0.25">
      <c r="A2126" s="27" t="s">
        <v>3016</v>
      </c>
      <c r="B2126" s="27"/>
      <c r="C2126" s="28">
        <v>3843.98</v>
      </c>
      <c r="D2126" s="28">
        <v>3964.49</v>
      </c>
      <c r="E2126" s="28">
        <v>3964.49</v>
      </c>
      <c r="F2126" s="28">
        <f>E2176</f>
        <v>3164.4899999999907</v>
      </c>
      <c r="G2126" s="27"/>
    </row>
    <row r="2127" spans="1:7" x14ac:dyDescent="0.25">
      <c r="A2127" s="23" t="s">
        <v>1644</v>
      </c>
      <c r="B2127" s="23" t="s">
        <v>2</v>
      </c>
      <c r="C2127" s="29"/>
      <c r="D2127" s="29"/>
      <c r="E2127" s="29"/>
      <c r="F2127" s="29"/>
      <c r="G2127" s="29"/>
    </row>
    <row r="2128" spans="1:7" x14ac:dyDescent="0.25">
      <c r="A2128" s="23" t="s">
        <v>2026</v>
      </c>
      <c r="B2128" s="23" t="s">
        <v>2</v>
      </c>
      <c r="C2128" s="29"/>
      <c r="D2128" s="29"/>
      <c r="E2128" s="29"/>
      <c r="F2128" s="29"/>
      <c r="G2128" s="29"/>
    </row>
    <row r="2129" spans="1:7" x14ac:dyDescent="0.25">
      <c r="A2129" s="23" t="s">
        <v>2175</v>
      </c>
      <c r="B2129" s="23" t="s">
        <v>2</v>
      </c>
      <c r="C2129" s="29"/>
      <c r="D2129" s="29"/>
      <c r="E2129" s="29"/>
      <c r="F2129" s="29"/>
      <c r="G2129" s="29"/>
    </row>
    <row r="2130" spans="1:7" x14ac:dyDescent="0.25">
      <c r="A2130" s="23" t="s">
        <v>2176</v>
      </c>
      <c r="B2130" s="23" t="s">
        <v>2</v>
      </c>
      <c r="C2130" s="29"/>
      <c r="D2130" s="29"/>
      <c r="E2130" s="29"/>
      <c r="F2130" s="29"/>
      <c r="G2130" s="29"/>
    </row>
    <row r="2131" spans="1:7" x14ac:dyDescent="0.25">
      <c r="A2131" s="30" t="s">
        <v>3017</v>
      </c>
      <c r="B2131" s="30" t="s">
        <v>2409</v>
      </c>
      <c r="C2131" s="31">
        <v>4.01</v>
      </c>
      <c r="D2131" s="31">
        <v>2.8</v>
      </c>
      <c r="E2131" s="31">
        <v>0</v>
      </c>
      <c r="F2131" s="31">
        <v>0</v>
      </c>
      <c r="G2131" s="29"/>
    </row>
    <row r="2132" spans="1:7" x14ac:dyDescent="0.25">
      <c r="A2132" s="23" t="s">
        <v>2179</v>
      </c>
      <c r="B2132" s="23" t="s">
        <v>2</v>
      </c>
      <c r="C2132" s="32">
        <v>4.01</v>
      </c>
      <c r="D2132" s="32">
        <v>2.8</v>
      </c>
      <c r="E2132" s="32">
        <f>SUM(E2131)</f>
        <v>0</v>
      </c>
      <c r="F2132" s="32">
        <f>SUM(F2131)</f>
        <v>0</v>
      </c>
      <c r="G2132" s="29"/>
    </row>
    <row r="2133" spans="1:7" x14ac:dyDescent="0.25">
      <c r="A2133" s="23" t="s">
        <v>2</v>
      </c>
      <c r="B2133" s="23" t="s">
        <v>2</v>
      </c>
      <c r="C2133" s="23" t="s">
        <v>2</v>
      </c>
      <c r="D2133" s="23" t="s">
        <v>2</v>
      </c>
      <c r="E2133" s="23" t="s">
        <v>2</v>
      </c>
      <c r="F2133" s="23" t="s">
        <v>2</v>
      </c>
      <c r="G2133" s="29"/>
    </row>
    <row r="2134" spans="1:7" x14ac:dyDescent="0.25">
      <c r="A2134" s="23" t="s">
        <v>2553</v>
      </c>
      <c r="B2134" s="23" t="s">
        <v>2</v>
      </c>
      <c r="C2134" s="29"/>
      <c r="D2134" s="29"/>
      <c r="E2134" s="29"/>
      <c r="F2134" s="29"/>
      <c r="G2134" s="29"/>
    </row>
    <row r="2135" spans="1:7" x14ac:dyDescent="0.25">
      <c r="A2135" s="30" t="s">
        <v>3018</v>
      </c>
      <c r="B2135" s="30" t="s">
        <v>3019</v>
      </c>
      <c r="C2135" s="31">
        <v>0</v>
      </c>
      <c r="D2135" s="31">
        <v>0</v>
      </c>
      <c r="E2135" s="31">
        <v>0</v>
      </c>
      <c r="F2135" s="31">
        <v>0</v>
      </c>
      <c r="G2135" s="29"/>
    </row>
    <row r="2136" spans="1:7" x14ac:dyDescent="0.25">
      <c r="A2136" s="30" t="s">
        <v>3020</v>
      </c>
      <c r="B2136" s="30" t="s">
        <v>3021</v>
      </c>
      <c r="C2136" s="31">
        <v>0</v>
      </c>
      <c r="D2136" s="31">
        <v>0</v>
      </c>
      <c r="E2136" s="31">
        <v>0</v>
      </c>
      <c r="F2136" s="31">
        <v>0</v>
      </c>
      <c r="G2136" s="29"/>
    </row>
    <row r="2137" spans="1:7" x14ac:dyDescent="0.25">
      <c r="A2137" s="30" t="s">
        <v>3022</v>
      </c>
      <c r="B2137" s="30" t="s">
        <v>3023</v>
      </c>
      <c r="C2137" s="31">
        <v>695259.19</v>
      </c>
      <c r="D2137" s="31">
        <v>0</v>
      </c>
      <c r="E2137" s="31">
        <v>695902</v>
      </c>
      <c r="F2137" s="31">
        <v>0</v>
      </c>
      <c r="G2137" s="29"/>
    </row>
    <row r="2138" spans="1:7" x14ac:dyDescent="0.25">
      <c r="A2138" s="30" t="s">
        <v>3024</v>
      </c>
      <c r="B2138" s="30" t="s">
        <v>3025</v>
      </c>
      <c r="C2138" s="31">
        <v>833632.54</v>
      </c>
      <c r="D2138" s="31">
        <v>0</v>
      </c>
      <c r="E2138" s="31">
        <v>833578</v>
      </c>
      <c r="F2138" s="31">
        <v>0</v>
      </c>
      <c r="G2138" s="29"/>
    </row>
    <row r="2139" spans="1:7" x14ac:dyDescent="0.25">
      <c r="A2139" s="30" t="s">
        <v>3026</v>
      </c>
      <c r="B2139" s="30" t="s">
        <v>3027</v>
      </c>
      <c r="C2139" s="31">
        <v>39979</v>
      </c>
      <c r="D2139" s="31">
        <v>0</v>
      </c>
      <c r="E2139" s="31">
        <v>39113</v>
      </c>
      <c r="F2139" s="31">
        <v>0</v>
      </c>
      <c r="G2139" s="29"/>
    </row>
    <row r="2140" spans="1:7" x14ac:dyDescent="0.25">
      <c r="A2140" s="23" t="s">
        <v>2556</v>
      </c>
      <c r="B2140" s="23" t="s">
        <v>2</v>
      </c>
      <c r="C2140" s="32">
        <v>1568870.73</v>
      </c>
      <c r="D2140" s="32">
        <v>0</v>
      </c>
      <c r="E2140" s="32">
        <f>SUM(E2135:E2139)</f>
        <v>1568593</v>
      </c>
      <c r="F2140" s="32">
        <f>SUM(F2135:F2139)</f>
        <v>0</v>
      </c>
      <c r="G2140" s="29"/>
    </row>
    <row r="2141" spans="1:7" x14ac:dyDescent="0.25">
      <c r="A2141" s="23" t="s">
        <v>2</v>
      </c>
      <c r="B2141" s="23" t="s">
        <v>2</v>
      </c>
      <c r="C2141" s="23" t="s">
        <v>2</v>
      </c>
      <c r="D2141" s="23" t="s">
        <v>2</v>
      </c>
      <c r="E2141" s="23" t="s">
        <v>2</v>
      </c>
      <c r="F2141" s="23" t="s">
        <v>2</v>
      </c>
      <c r="G2141" s="29"/>
    </row>
    <row r="2142" spans="1:7" x14ac:dyDescent="0.25">
      <c r="A2142" s="23" t="s">
        <v>2047</v>
      </c>
      <c r="B2142" s="23" t="s">
        <v>2</v>
      </c>
      <c r="C2142" s="32">
        <v>1568874.74</v>
      </c>
      <c r="D2142" s="32">
        <v>2.8</v>
      </c>
      <c r="E2142" s="32">
        <f>E2140+E2132</f>
        <v>1568593</v>
      </c>
      <c r="F2142" s="32">
        <f>F2140+F2132</f>
        <v>0</v>
      </c>
      <c r="G2142" s="29"/>
    </row>
    <row r="2143" spans="1:7" ht="15" customHeight="1" x14ac:dyDescent="0.25">
      <c r="A2143" s="1" t="s">
        <v>740</v>
      </c>
      <c r="B2143" s="1" t="s">
        <v>2</v>
      </c>
      <c r="C2143" s="40"/>
      <c r="E2143" s="40"/>
    </row>
    <row r="2144" spans="1:7" ht="15" customHeight="1" x14ac:dyDescent="0.25">
      <c r="A2144" s="1" t="s">
        <v>556</v>
      </c>
      <c r="B2144" s="1" t="s">
        <v>2</v>
      </c>
    </row>
    <row r="2145" spans="1:6" ht="15" customHeight="1" x14ac:dyDescent="0.25">
      <c r="A2145" s="1" t="s">
        <v>1645</v>
      </c>
      <c r="B2145" s="1" t="s">
        <v>2</v>
      </c>
    </row>
    <row r="2146" spans="1:6" x14ac:dyDescent="0.25">
      <c r="A2146" s="2" t="s">
        <v>1646</v>
      </c>
      <c r="B2146" s="2" t="s">
        <v>1647</v>
      </c>
      <c r="C2146" s="3">
        <v>25000</v>
      </c>
      <c r="D2146" s="3">
        <v>0</v>
      </c>
      <c r="E2146" s="3">
        <v>25000</v>
      </c>
      <c r="F2146" s="5">
        <v>0</v>
      </c>
    </row>
    <row r="2147" spans="1:6" x14ac:dyDescent="0.25">
      <c r="A2147" s="2" t="s">
        <v>1648</v>
      </c>
      <c r="B2147" s="2" t="s">
        <v>1649</v>
      </c>
      <c r="C2147" s="3">
        <v>250000</v>
      </c>
      <c r="D2147" s="3">
        <v>0</v>
      </c>
      <c r="E2147" s="3">
        <v>0</v>
      </c>
      <c r="F2147" s="5">
        <v>0</v>
      </c>
    </row>
    <row r="2148" spans="1:6" x14ac:dyDescent="0.25">
      <c r="A2148" s="2" t="s">
        <v>1650</v>
      </c>
      <c r="B2148" s="2" t="s">
        <v>1651</v>
      </c>
      <c r="C2148" s="3">
        <v>18480</v>
      </c>
      <c r="D2148" s="3">
        <v>0</v>
      </c>
      <c r="E2148" s="3">
        <v>292320</v>
      </c>
      <c r="F2148" s="5">
        <v>0</v>
      </c>
    </row>
    <row r="2149" spans="1:6" x14ac:dyDescent="0.25">
      <c r="A2149" s="2" t="s">
        <v>1652</v>
      </c>
      <c r="B2149" s="2" t="s">
        <v>1653</v>
      </c>
      <c r="C2149" s="3">
        <v>324000</v>
      </c>
      <c r="D2149" s="3">
        <v>0</v>
      </c>
      <c r="E2149" s="3">
        <v>332000</v>
      </c>
      <c r="F2149" s="5">
        <v>0</v>
      </c>
    </row>
    <row r="2150" spans="1:6" x14ac:dyDescent="0.25">
      <c r="A2150" s="2" t="s">
        <v>1654</v>
      </c>
      <c r="B2150" s="2" t="s">
        <v>1655</v>
      </c>
      <c r="C2150" s="3">
        <v>45000</v>
      </c>
      <c r="D2150" s="3">
        <v>0</v>
      </c>
      <c r="E2150" s="3">
        <v>0</v>
      </c>
      <c r="F2150" s="5">
        <v>0</v>
      </c>
    </row>
    <row r="2151" spans="1:6" x14ac:dyDescent="0.25">
      <c r="A2151" s="2" t="s">
        <v>1656</v>
      </c>
      <c r="B2151" s="2" t="s">
        <v>1657</v>
      </c>
      <c r="C2151" s="3">
        <v>390000</v>
      </c>
      <c r="D2151" s="3">
        <v>0</v>
      </c>
      <c r="E2151" s="3">
        <v>400000</v>
      </c>
      <c r="F2151" s="5">
        <v>0</v>
      </c>
    </row>
    <row r="2152" spans="1:6" x14ac:dyDescent="0.25">
      <c r="A2152" s="2" t="s">
        <v>1658</v>
      </c>
      <c r="B2152" s="2" t="s">
        <v>1659</v>
      </c>
      <c r="C2152" s="3">
        <v>3520</v>
      </c>
      <c r="D2152" s="3">
        <v>0</v>
      </c>
      <c r="E2152" s="3">
        <v>55680</v>
      </c>
      <c r="F2152" s="5">
        <v>0</v>
      </c>
    </row>
    <row r="2153" spans="1:6" ht="15" customHeight="1" x14ac:dyDescent="0.25">
      <c r="A2153" s="1" t="s">
        <v>1660</v>
      </c>
      <c r="B2153" s="1" t="s">
        <v>2</v>
      </c>
      <c r="C2153" s="4">
        <v>1056000</v>
      </c>
      <c r="D2153" s="4">
        <v>0</v>
      </c>
      <c r="E2153" s="6">
        <f>SUM(E2146:E2152)</f>
        <v>1105000</v>
      </c>
      <c r="F2153" s="6">
        <f>SUM(F2146:F2152)</f>
        <v>0</v>
      </c>
    </row>
    <row r="2154" spans="1:6" x14ac:dyDescent="0.25">
      <c r="A2154" s="1" t="s">
        <v>2</v>
      </c>
      <c r="B2154" s="1" t="s">
        <v>2</v>
      </c>
      <c r="C2154" s="1" t="s">
        <v>2</v>
      </c>
      <c r="D2154" s="1" t="s">
        <v>2</v>
      </c>
      <c r="E2154" s="1" t="s">
        <v>2</v>
      </c>
      <c r="F2154" s="1" t="s">
        <v>2</v>
      </c>
    </row>
    <row r="2155" spans="1:6" ht="15" customHeight="1" x14ac:dyDescent="0.25">
      <c r="A2155" s="1" t="s">
        <v>1153</v>
      </c>
      <c r="B2155" s="1" t="s">
        <v>2</v>
      </c>
    </row>
    <row r="2156" spans="1:6" x14ac:dyDescent="0.25">
      <c r="A2156" s="2" t="s">
        <v>1661</v>
      </c>
      <c r="B2156" s="2" t="s">
        <v>1662</v>
      </c>
      <c r="C2156" s="3">
        <v>14862.5</v>
      </c>
      <c r="D2156" s="3">
        <v>7056.25</v>
      </c>
      <c r="E2156" s="3">
        <v>14113</v>
      </c>
      <c r="F2156" s="5">
        <v>0</v>
      </c>
    </row>
    <row r="2157" spans="1:6" x14ac:dyDescent="0.25">
      <c r="A2157" s="2" t="s">
        <v>1663</v>
      </c>
      <c r="B2157" s="2" t="s">
        <v>1664</v>
      </c>
      <c r="C2157" s="3">
        <v>9912</v>
      </c>
      <c r="D2157" s="3">
        <v>0</v>
      </c>
      <c r="E2157" s="3">
        <v>0</v>
      </c>
      <c r="F2157" s="5">
        <v>0</v>
      </c>
    </row>
    <row r="2158" spans="1:6" x14ac:dyDescent="0.25">
      <c r="A2158" s="2" t="s">
        <v>1665</v>
      </c>
      <c r="B2158" s="2" t="s">
        <v>1666</v>
      </c>
      <c r="C2158" s="3">
        <v>94760.4</v>
      </c>
      <c r="D2158" s="3">
        <v>40614</v>
      </c>
      <c r="E2158" s="3">
        <v>81228</v>
      </c>
      <c r="F2158" s="5">
        <v>0</v>
      </c>
    </row>
    <row r="2159" spans="1:6" x14ac:dyDescent="0.25">
      <c r="A2159" s="2" t="s">
        <v>1667</v>
      </c>
      <c r="B2159" s="2" t="s">
        <v>1668</v>
      </c>
      <c r="C2159" s="3">
        <v>136114.79999999999</v>
      </c>
      <c r="D2159" s="3">
        <v>0</v>
      </c>
      <c r="E2159" s="3">
        <v>128030</v>
      </c>
      <c r="F2159" s="5">
        <v>0</v>
      </c>
    </row>
    <row r="2160" spans="1:6" x14ac:dyDescent="0.25">
      <c r="A2160" s="2" t="s">
        <v>1669</v>
      </c>
      <c r="B2160" s="2" t="s">
        <v>1670</v>
      </c>
      <c r="C2160" s="3">
        <v>0</v>
      </c>
      <c r="D2160" s="3">
        <v>0</v>
      </c>
      <c r="E2160" s="3">
        <v>0</v>
      </c>
      <c r="F2160" s="5">
        <v>0</v>
      </c>
    </row>
    <row r="2161" spans="1:7" x14ac:dyDescent="0.25">
      <c r="A2161" s="2" t="s">
        <v>1671</v>
      </c>
      <c r="B2161" s="2" t="s">
        <v>1672</v>
      </c>
      <c r="C2161" s="3">
        <v>1888</v>
      </c>
      <c r="D2161" s="3">
        <v>0</v>
      </c>
      <c r="E2161" s="3">
        <v>0</v>
      </c>
      <c r="F2161" s="5">
        <v>0</v>
      </c>
    </row>
    <row r="2162" spans="1:7" ht="15" customHeight="1" x14ac:dyDescent="0.25">
      <c r="A2162" s="2" t="s">
        <v>1673</v>
      </c>
      <c r="B2162" s="2" t="s">
        <v>1181</v>
      </c>
      <c r="C2162" s="3">
        <v>716.93</v>
      </c>
      <c r="D2162" s="3">
        <v>170</v>
      </c>
      <c r="E2162" s="3">
        <v>800</v>
      </c>
      <c r="F2162" s="5">
        <v>0</v>
      </c>
    </row>
    <row r="2163" spans="1:7" x14ac:dyDescent="0.25">
      <c r="A2163" s="2" t="s">
        <v>1674</v>
      </c>
      <c r="B2163" s="2" t="s">
        <v>1675</v>
      </c>
      <c r="C2163" s="3">
        <v>236450</v>
      </c>
      <c r="D2163" s="3">
        <v>112375</v>
      </c>
      <c r="E2163" s="3">
        <v>224750</v>
      </c>
      <c r="F2163" s="5">
        <v>0</v>
      </c>
    </row>
    <row r="2164" spans="1:7" x14ac:dyDescent="0.25">
      <c r="A2164" s="2" t="s">
        <v>1676</v>
      </c>
      <c r="B2164" s="2" t="s">
        <v>1677</v>
      </c>
      <c r="C2164" s="3">
        <v>18049.599999999999</v>
      </c>
      <c r="D2164" s="3">
        <v>7736</v>
      </c>
      <c r="E2164" s="3">
        <v>15472</v>
      </c>
      <c r="F2164" s="5">
        <v>0</v>
      </c>
    </row>
    <row r="2165" spans="1:7" x14ac:dyDescent="0.25">
      <c r="A2165" s="2" t="s">
        <v>1678</v>
      </c>
      <c r="B2165" s="2" t="s">
        <v>1679</v>
      </c>
      <c r="C2165" s="3">
        <v>0</v>
      </c>
      <c r="D2165" s="3">
        <v>0</v>
      </c>
      <c r="E2165" s="3">
        <v>0</v>
      </c>
      <c r="F2165" s="5">
        <v>0</v>
      </c>
    </row>
    <row r="2166" spans="1:7" ht="15" customHeight="1" x14ac:dyDescent="0.25">
      <c r="A2166" s="2" t="s">
        <v>1680</v>
      </c>
      <c r="B2166" s="2" t="s">
        <v>1681</v>
      </c>
      <c r="C2166" s="3">
        <v>0</v>
      </c>
      <c r="D2166" s="3">
        <v>0</v>
      </c>
      <c r="E2166" s="3">
        <v>0</v>
      </c>
      <c r="F2166" s="5">
        <v>0</v>
      </c>
    </row>
    <row r="2167" spans="1:7" ht="15" customHeight="1" x14ac:dyDescent="0.25">
      <c r="A2167" s="1" t="s">
        <v>1158</v>
      </c>
      <c r="B2167" s="1" t="s">
        <v>2</v>
      </c>
      <c r="C2167" s="4">
        <v>512754.23</v>
      </c>
      <c r="D2167" s="4">
        <v>167951.25</v>
      </c>
      <c r="E2167" s="6">
        <f>SUM(E2156:E2166)</f>
        <v>464393</v>
      </c>
      <c r="F2167" s="6">
        <f>SUM(F2156:F2166)</f>
        <v>0</v>
      </c>
    </row>
    <row r="2168" spans="1:7" x14ac:dyDescent="0.25">
      <c r="A2168" s="1" t="s">
        <v>2</v>
      </c>
      <c r="B2168" s="1" t="s">
        <v>2</v>
      </c>
      <c r="C2168" s="1" t="s">
        <v>2</v>
      </c>
      <c r="D2168" s="1" t="s">
        <v>2</v>
      </c>
      <c r="E2168" s="1" t="s">
        <v>2</v>
      </c>
      <c r="F2168" s="1" t="s">
        <v>2</v>
      </c>
    </row>
    <row r="2169" spans="1:7" ht="15" customHeight="1" x14ac:dyDescent="0.25">
      <c r="A2169" s="2" t="s">
        <v>1682</v>
      </c>
      <c r="B2169" s="2" t="s">
        <v>1683</v>
      </c>
      <c r="C2169" s="3">
        <v>0</v>
      </c>
      <c r="D2169" s="3">
        <v>0</v>
      </c>
      <c r="E2169" s="3">
        <v>0</v>
      </c>
      <c r="F2169" s="5">
        <v>0</v>
      </c>
    </row>
    <row r="2170" spans="1:7" ht="15" customHeight="1" x14ac:dyDescent="0.25">
      <c r="A2170" s="2" t="s">
        <v>1684</v>
      </c>
      <c r="B2170" s="2" t="s">
        <v>1683</v>
      </c>
      <c r="C2170" s="3">
        <v>0</v>
      </c>
      <c r="D2170" s="3">
        <v>0</v>
      </c>
      <c r="E2170" s="3">
        <v>0</v>
      </c>
      <c r="F2170" s="5">
        <v>0</v>
      </c>
    </row>
    <row r="2171" spans="1:7" ht="15" customHeight="1" x14ac:dyDescent="0.25">
      <c r="A2171" s="2" t="s">
        <v>1685</v>
      </c>
      <c r="B2171" s="2" t="s">
        <v>1686</v>
      </c>
      <c r="C2171" s="3">
        <v>0</v>
      </c>
      <c r="D2171" s="3">
        <v>0</v>
      </c>
      <c r="E2171" s="3">
        <v>0</v>
      </c>
      <c r="F2171" s="5">
        <v>0</v>
      </c>
    </row>
    <row r="2172" spans="1:7" ht="15" customHeight="1" x14ac:dyDescent="0.25">
      <c r="A2172" s="2" t="s">
        <v>1687</v>
      </c>
      <c r="B2172" s="2" t="s">
        <v>1686</v>
      </c>
      <c r="C2172" s="3">
        <v>0</v>
      </c>
      <c r="D2172" s="3">
        <v>0</v>
      </c>
      <c r="E2172" s="3">
        <v>0</v>
      </c>
      <c r="F2172" s="5">
        <v>0</v>
      </c>
    </row>
    <row r="2173" spans="1:7" ht="15" customHeight="1" x14ac:dyDescent="0.25">
      <c r="A2173" s="2" t="s">
        <v>1688</v>
      </c>
      <c r="B2173" s="2" t="s">
        <v>1689</v>
      </c>
      <c r="C2173" s="3">
        <v>0</v>
      </c>
      <c r="D2173" s="3">
        <v>0</v>
      </c>
      <c r="E2173" s="3">
        <v>0</v>
      </c>
      <c r="F2173" s="5">
        <v>0</v>
      </c>
    </row>
    <row r="2174" spans="1:7" x14ac:dyDescent="0.25">
      <c r="A2174" s="1" t="s">
        <v>2</v>
      </c>
      <c r="B2174" s="1" t="s">
        <v>2</v>
      </c>
      <c r="C2174" s="1" t="s">
        <v>2</v>
      </c>
      <c r="D2174" s="1" t="s">
        <v>2</v>
      </c>
      <c r="E2174" s="1" t="s">
        <v>2</v>
      </c>
      <c r="F2174" s="1" t="s">
        <v>2</v>
      </c>
    </row>
    <row r="2175" spans="1:7" ht="15" customHeight="1" x14ac:dyDescent="0.25">
      <c r="A2175" s="1" t="s">
        <v>1690</v>
      </c>
      <c r="B2175" s="1" t="s">
        <v>2</v>
      </c>
      <c r="C2175" s="4">
        <v>1568754.23</v>
      </c>
      <c r="D2175" s="4">
        <v>167951.25</v>
      </c>
      <c r="E2175" s="6">
        <f>SUM(E2169:E2173)+E2167+E2153</f>
        <v>1569393</v>
      </c>
      <c r="F2175" s="6">
        <f>SUM(F2169:F2173)+F2167+F2153</f>
        <v>0</v>
      </c>
    </row>
    <row r="2176" spans="1:7" ht="15" customHeight="1" x14ac:dyDescent="0.25">
      <c r="A2176" s="25" t="s">
        <v>3028</v>
      </c>
      <c r="B2176" s="25" t="s">
        <v>2</v>
      </c>
      <c r="C2176" s="33">
        <f>C2126+C2142-C2175</f>
        <v>3964.4899999999907</v>
      </c>
      <c r="D2176" s="33">
        <f t="shared" ref="D2176:F2176" si="28">D2126+D2142-D2175</f>
        <v>-163983.96</v>
      </c>
      <c r="E2176" s="33">
        <f t="shared" si="28"/>
        <v>3164.4899999999907</v>
      </c>
      <c r="F2176" s="33">
        <f t="shared" si="28"/>
        <v>3164.4899999999907</v>
      </c>
      <c r="G2176" s="25"/>
    </row>
    <row r="2177" spans="1:7" x14ac:dyDescent="0.25">
      <c r="A2177" s="1" t="s">
        <v>2</v>
      </c>
      <c r="B2177" s="1" t="s">
        <v>2</v>
      </c>
      <c r="C2177" s="1" t="s">
        <v>2</v>
      </c>
      <c r="D2177" s="1" t="s">
        <v>2</v>
      </c>
      <c r="E2177" s="1" t="s">
        <v>2</v>
      </c>
      <c r="F2177" s="1" t="s">
        <v>2</v>
      </c>
    </row>
    <row r="2178" spans="1:7" ht="15" customHeight="1" x14ac:dyDescent="0.25">
      <c r="A2178" s="27" t="s">
        <v>3029</v>
      </c>
      <c r="B2178" s="27" t="s">
        <v>2</v>
      </c>
      <c r="C2178" s="28">
        <v>1149587.3700000001</v>
      </c>
      <c r="D2178" s="28">
        <v>1150468.8600000001</v>
      </c>
      <c r="E2178" s="28">
        <v>1150468.8600000001</v>
      </c>
      <c r="F2178" s="28">
        <f>E2197</f>
        <v>1150468.8600000001</v>
      </c>
      <c r="G2178" s="27"/>
    </row>
    <row r="2179" spans="1:7" x14ac:dyDescent="0.25">
      <c r="A2179" s="23" t="s">
        <v>1691</v>
      </c>
      <c r="B2179" s="23" t="s">
        <v>2</v>
      </c>
      <c r="C2179" s="29"/>
      <c r="D2179" s="29"/>
      <c r="E2179" s="29"/>
      <c r="F2179" s="29"/>
      <c r="G2179" s="29"/>
    </row>
    <row r="2180" spans="1:7" x14ac:dyDescent="0.25">
      <c r="A2180" s="23" t="s">
        <v>2026</v>
      </c>
      <c r="B2180" s="23" t="s">
        <v>2</v>
      </c>
      <c r="C2180" s="29"/>
      <c r="D2180" s="29"/>
      <c r="E2180" s="29"/>
      <c r="F2180" s="29"/>
      <c r="G2180" s="29"/>
    </row>
    <row r="2181" spans="1:7" x14ac:dyDescent="0.25">
      <c r="A2181" s="23" t="s">
        <v>2175</v>
      </c>
      <c r="B2181" s="23" t="s">
        <v>2</v>
      </c>
      <c r="C2181" s="29"/>
      <c r="D2181" s="29"/>
      <c r="E2181" s="29"/>
      <c r="F2181" s="29"/>
      <c r="G2181" s="29"/>
    </row>
    <row r="2182" spans="1:7" x14ac:dyDescent="0.25">
      <c r="A2182" s="23" t="s">
        <v>2176</v>
      </c>
      <c r="B2182" s="23" t="s">
        <v>2</v>
      </c>
      <c r="C2182" s="29"/>
      <c r="D2182" s="29"/>
      <c r="E2182" s="29"/>
      <c r="F2182" s="29"/>
      <c r="G2182" s="29"/>
    </row>
    <row r="2183" spans="1:7" x14ac:dyDescent="0.25">
      <c r="A2183" s="30" t="s">
        <v>3030</v>
      </c>
      <c r="B2183" s="30" t="s">
        <v>2409</v>
      </c>
      <c r="C2183" s="31">
        <v>881.49</v>
      </c>
      <c r="D2183" s="31">
        <v>736.37</v>
      </c>
      <c r="E2183" s="31">
        <v>0</v>
      </c>
      <c r="F2183" s="31">
        <v>0</v>
      </c>
      <c r="G2183" s="29"/>
    </row>
    <row r="2184" spans="1:7" x14ac:dyDescent="0.25">
      <c r="A2184" s="30" t="s">
        <v>3031</v>
      </c>
      <c r="B2184" s="30" t="s">
        <v>2703</v>
      </c>
      <c r="C2184" s="31">
        <v>0</v>
      </c>
      <c r="D2184" s="31">
        <v>0</v>
      </c>
      <c r="E2184" s="31">
        <v>0</v>
      </c>
      <c r="F2184" s="31">
        <v>0</v>
      </c>
      <c r="G2184" s="29"/>
    </row>
    <row r="2185" spans="1:7" x14ac:dyDescent="0.25">
      <c r="A2185" s="23" t="s">
        <v>2179</v>
      </c>
      <c r="B2185" s="23" t="s">
        <v>2</v>
      </c>
      <c r="C2185" s="32">
        <v>881.49</v>
      </c>
      <c r="D2185" s="32">
        <v>736.37</v>
      </c>
      <c r="E2185" s="32">
        <f>SUM(E2183:E2184)</f>
        <v>0</v>
      </c>
      <c r="F2185" s="32">
        <f>SUM(F2183:F2184)</f>
        <v>0</v>
      </c>
      <c r="G2185" s="29"/>
    </row>
    <row r="2186" spans="1:7" x14ac:dyDescent="0.25">
      <c r="A2186" s="23" t="s">
        <v>2</v>
      </c>
      <c r="B2186" s="23" t="s">
        <v>2</v>
      </c>
      <c r="C2186" s="23" t="s">
        <v>2</v>
      </c>
      <c r="D2186" s="23" t="s">
        <v>2</v>
      </c>
      <c r="E2186" s="23" t="s">
        <v>2</v>
      </c>
      <c r="F2186" s="23" t="s">
        <v>2</v>
      </c>
      <c r="G2186" s="29"/>
    </row>
    <row r="2187" spans="1:7" x14ac:dyDescent="0.25">
      <c r="A2187" s="23" t="s">
        <v>2047</v>
      </c>
      <c r="B2187" s="23" t="s">
        <v>2</v>
      </c>
      <c r="C2187" s="32">
        <v>881.49</v>
      </c>
      <c r="D2187" s="32">
        <v>736.37</v>
      </c>
      <c r="E2187" s="32">
        <f>E2185</f>
        <v>0</v>
      </c>
      <c r="F2187" s="32">
        <f>F2185</f>
        <v>0</v>
      </c>
      <c r="G2187" s="29"/>
    </row>
    <row r="2188" spans="1:7" x14ac:dyDescent="0.25">
      <c r="A2188" s="1" t="s">
        <v>740</v>
      </c>
      <c r="B2188" s="1"/>
      <c r="C2188" s="4"/>
      <c r="D2188" s="4"/>
      <c r="E2188" s="6"/>
      <c r="F2188" s="6"/>
      <c r="G2188" s="6"/>
    </row>
    <row r="2189" spans="1:7" ht="15" customHeight="1" x14ac:dyDescent="0.25">
      <c r="A2189" s="1" t="s">
        <v>1691</v>
      </c>
      <c r="B2189" s="1" t="s">
        <v>2</v>
      </c>
      <c r="C2189" s="40"/>
      <c r="E2189" s="40"/>
    </row>
    <row r="2190" spans="1:7" ht="15" customHeight="1" x14ac:dyDescent="0.25">
      <c r="A2190" s="1" t="s">
        <v>706</v>
      </c>
      <c r="B2190" s="1" t="s">
        <v>2</v>
      </c>
    </row>
    <row r="2191" spans="1:7" ht="15" customHeight="1" x14ac:dyDescent="0.25">
      <c r="A2191" s="2" t="s">
        <v>1692</v>
      </c>
      <c r="B2191" s="2" t="s">
        <v>1693</v>
      </c>
      <c r="C2191" s="3">
        <v>0</v>
      </c>
      <c r="D2191" s="3">
        <v>0</v>
      </c>
      <c r="E2191" s="3">
        <v>0</v>
      </c>
      <c r="F2191" s="5">
        <v>0</v>
      </c>
    </row>
    <row r="2192" spans="1:7" ht="15" customHeight="1" x14ac:dyDescent="0.25">
      <c r="A2192" s="2" t="s">
        <v>1694</v>
      </c>
      <c r="B2192" s="2" t="s">
        <v>1695</v>
      </c>
      <c r="C2192" s="3">
        <v>0</v>
      </c>
      <c r="D2192" s="3">
        <v>0</v>
      </c>
      <c r="E2192" s="3">
        <v>0</v>
      </c>
      <c r="F2192" s="5">
        <v>0</v>
      </c>
    </row>
    <row r="2193" spans="1:7" ht="15" customHeight="1" x14ac:dyDescent="0.25">
      <c r="A2193" s="2" t="s">
        <v>1696</v>
      </c>
      <c r="B2193" s="2" t="s">
        <v>1697</v>
      </c>
      <c r="C2193" s="3">
        <v>0</v>
      </c>
      <c r="D2193" s="3">
        <v>0</v>
      </c>
      <c r="E2193" s="3">
        <v>0</v>
      </c>
      <c r="F2193" s="5">
        <v>0</v>
      </c>
    </row>
    <row r="2194" spans="1:7" ht="15" customHeight="1" x14ac:dyDescent="0.25">
      <c r="A2194" s="1" t="s">
        <v>737</v>
      </c>
      <c r="B2194" s="1" t="s">
        <v>2</v>
      </c>
      <c r="C2194" s="4">
        <v>0</v>
      </c>
      <c r="D2194" s="4">
        <v>0</v>
      </c>
      <c r="E2194" s="6">
        <f>SUM(E2191:E2193)</f>
        <v>0</v>
      </c>
      <c r="F2194" s="6">
        <f>SUM(F2191:F2193)</f>
        <v>0</v>
      </c>
    </row>
    <row r="2195" spans="1:7" x14ac:dyDescent="0.25">
      <c r="A2195" s="1" t="s">
        <v>2</v>
      </c>
      <c r="B2195" s="1" t="s">
        <v>2</v>
      </c>
      <c r="C2195" s="1" t="s">
        <v>2</v>
      </c>
      <c r="D2195" s="1" t="s">
        <v>2</v>
      </c>
      <c r="E2195" s="1" t="s">
        <v>2</v>
      </c>
      <c r="F2195" s="1" t="s">
        <v>2</v>
      </c>
    </row>
    <row r="2196" spans="1:7" ht="15" customHeight="1" x14ac:dyDescent="0.25">
      <c r="A2196" s="1" t="s">
        <v>1698</v>
      </c>
      <c r="B2196" s="1" t="s">
        <v>2</v>
      </c>
      <c r="C2196" s="4">
        <v>0</v>
      </c>
      <c r="D2196" s="4">
        <v>0</v>
      </c>
      <c r="E2196" s="6">
        <f>E2194</f>
        <v>0</v>
      </c>
      <c r="F2196" s="6">
        <f>F2194</f>
        <v>0</v>
      </c>
    </row>
    <row r="2197" spans="1:7" ht="15" customHeight="1" x14ac:dyDescent="0.25">
      <c r="A2197" s="25" t="s">
        <v>3032</v>
      </c>
      <c r="B2197" s="25"/>
      <c r="C2197" s="33">
        <f>C2178+C2187-C2196</f>
        <v>1150468.8600000001</v>
      </c>
      <c r="D2197" s="33">
        <f t="shared" ref="D2197:F2197" si="29">D2178+D2187-D2196</f>
        <v>1151205.2300000002</v>
      </c>
      <c r="E2197" s="33">
        <f t="shared" si="29"/>
        <v>1150468.8600000001</v>
      </c>
      <c r="F2197" s="33">
        <f t="shared" si="29"/>
        <v>1150468.8600000001</v>
      </c>
      <c r="G2197" s="25"/>
    </row>
    <row r="2198" spans="1:7" x14ac:dyDescent="0.25">
      <c r="A2198" s="2" t="s">
        <v>2</v>
      </c>
      <c r="B2198" s="2" t="s">
        <v>2</v>
      </c>
      <c r="C2198" s="2" t="s">
        <v>2</v>
      </c>
      <c r="D2198" s="2" t="s">
        <v>2</v>
      </c>
      <c r="E2198" s="2" t="s">
        <v>2</v>
      </c>
      <c r="F2198" s="2" t="s">
        <v>2</v>
      </c>
    </row>
    <row r="2199" spans="1:7" ht="15" customHeight="1" x14ac:dyDescent="0.25">
      <c r="A2199" s="27" t="s">
        <v>3033</v>
      </c>
      <c r="B2199" s="27"/>
      <c r="C2199" s="28">
        <v>885916.34</v>
      </c>
      <c r="D2199" s="28">
        <v>1887732.47</v>
      </c>
      <c r="E2199" s="28">
        <v>1887732.47</v>
      </c>
      <c r="F2199" s="28">
        <f>E2209</f>
        <v>4887732.47</v>
      </c>
      <c r="G2199" s="27"/>
    </row>
    <row r="2200" spans="1:7" x14ac:dyDescent="0.25">
      <c r="A2200" s="23" t="s">
        <v>3034</v>
      </c>
      <c r="B2200" s="23" t="s">
        <v>2</v>
      </c>
      <c r="C2200" s="29"/>
      <c r="D2200" s="29"/>
      <c r="E2200" s="29"/>
      <c r="F2200" s="29"/>
      <c r="G2200" s="29"/>
    </row>
    <row r="2201" spans="1:7" x14ac:dyDescent="0.25">
      <c r="A2201" s="23" t="s">
        <v>2026</v>
      </c>
      <c r="B2201" s="23" t="s">
        <v>2</v>
      </c>
      <c r="C2201" s="29"/>
      <c r="D2201" s="29"/>
      <c r="E2201" s="29"/>
      <c r="F2201" s="29"/>
      <c r="G2201" s="29"/>
    </row>
    <row r="2202" spans="1:7" x14ac:dyDescent="0.25">
      <c r="A2202" s="30" t="s">
        <v>3035</v>
      </c>
      <c r="B2202" s="30" t="s">
        <v>2409</v>
      </c>
      <c r="C2202" s="31">
        <v>1816.13</v>
      </c>
      <c r="D2202" s="31">
        <v>1388.83</v>
      </c>
      <c r="E2202" s="31">
        <v>0</v>
      </c>
      <c r="F2202" s="31">
        <v>0</v>
      </c>
      <c r="G2202" s="29"/>
    </row>
    <row r="2203" spans="1:7" x14ac:dyDescent="0.25">
      <c r="A2203" s="23" t="s">
        <v>2</v>
      </c>
      <c r="B2203" s="23" t="s">
        <v>2</v>
      </c>
      <c r="C2203" s="23" t="s">
        <v>2</v>
      </c>
      <c r="D2203" s="23" t="s">
        <v>2</v>
      </c>
      <c r="E2203" s="23" t="s">
        <v>2</v>
      </c>
      <c r="F2203" s="23" t="s">
        <v>2</v>
      </c>
      <c r="G2203" s="29"/>
    </row>
    <row r="2204" spans="1:7" x14ac:dyDescent="0.25">
      <c r="A2204" s="23" t="s">
        <v>2553</v>
      </c>
      <c r="B2204" s="23" t="s">
        <v>2</v>
      </c>
      <c r="C2204" s="29"/>
      <c r="D2204" s="29"/>
      <c r="E2204" s="29"/>
      <c r="F2204" s="29"/>
      <c r="G2204" s="29"/>
    </row>
    <row r="2205" spans="1:7" x14ac:dyDescent="0.25">
      <c r="A2205" s="30" t="s">
        <v>3036</v>
      </c>
      <c r="B2205" s="30" t="s">
        <v>3037</v>
      </c>
      <c r="C2205" s="31">
        <v>1000000</v>
      </c>
      <c r="D2205" s="31">
        <v>0</v>
      </c>
      <c r="E2205" s="31">
        <v>3000000</v>
      </c>
      <c r="F2205" s="31">
        <v>0</v>
      </c>
      <c r="G2205" s="29"/>
    </row>
    <row r="2206" spans="1:7" x14ac:dyDescent="0.25">
      <c r="A2206" s="23" t="s">
        <v>2556</v>
      </c>
      <c r="B2206" s="23" t="s">
        <v>2</v>
      </c>
      <c r="C2206" s="32">
        <v>1000000</v>
      </c>
      <c r="D2206" s="32">
        <v>0</v>
      </c>
      <c r="E2206" s="32">
        <f>SUM(E2205)</f>
        <v>3000000</v>
      </c>
      <c r="F2206" s="32">
        <f>SUM(F2205)</f>
        <v>0</v>
      </c>
      <c r="G2206" s="29"/>
    </row>
    <row r="2207" spans="1:7" x14ac:dyDescent="0.25">
      <c r="A2207" s="23" t="s">
        <v>2</v>
      </c>
      <c r="B2207" s="23" t="s">
        <v>2</v>
      </c>
      <c r="C2207" s="23" t="s">
        <v>2</v>
      </c>
      <c r="D2207" s="23" t="s">
        <v>2</v>
      </c>
      <c r="E2207" s="23" t="s">
        <v>2</v>
      </c>
      <c r="F2207" s="23" t="s">
        <v>2</v>
      </c>
      <c r="G2207" s="29"/>
    </row>
    <row r="2208" spans="1:7" x14ac:dyDescent="0.25">
      <c r="A2208" s="23" t="s">
        <v>3038</v>
      </c>
      <c r="B2208" s="23" t="s">
        <v>2</v>
      </c>
      <c r="C2208" s="32">
        <v>1001816.13</v>
      </c>
      <c r="D2208" s="32">
        <v>1388.83</v>
      </c>
      <c r="E2208" s="32">
        <f>E2206+E2202</f>
        <v>3000000</v>
      </c>
      <c r="F2208" s="32">
        <f>F2206+F2202</f>
        <v>0</v>
      </c>
      <c r="G2208" s="29"/>
    </row>
    <row r="2209" spans="1:7" ht="15" customHeight="1" x14ac:dyDescent="0.25">
      <c r="A2209" s="25" t="s">
        <v>3039</v>
      </c>
      <c r="B2209" s="25"/>
      <c r="C2209" s="33">
        <f>C2199+C2208</f>
        <v>1887732.47</v>
      </c>
      <c r="D2209" s="33">
        <f t="shared" ref="D2209:F2209" si="30">D2199+D2208</f>
        <v>1889121.3</v>
      </c>
      <c r="E2209" s="33">
        <f t="shared" si="30"/>
        <v>4887732.47</v>
      </c>
      <c r="F2209" s="33">
        <f t="shared" si="30"/>
        <v>4887732.47</v>
      </c>
      <c r="G2209" s="25"/>
    </row>
    <row r="2210" spans="1:7" ht="15" customHeight="1" x14ac:dyDescent="0.25">
      <c r="A2210" s="34"/>
      <c r="B2210" s="34"/>
      <c r="C2210" s="35"/>
      <c r="D2210" s="35"/>
      <c r="E2210" s="35"/>
      <c r="F2210" s="35"/>
      <c r="G2210" s="34"/>
    </row>
    <row r="2211" spans="1:7" ht="15" customHeight="1" x14ac:dyDescent="0.25">
      <c r="A2211" s="27" t="s">
        <v>3040</v>
      </c>
      <c r="B2211" s="27"/>
      <c r="C2211" s="28">
        <v>1690428.81</v>
      </c>
      <c r="D2211" s="28">
        <v>1971194.38</v>
      </c>
      <c r="E2211" s="28">
        <v>1971194.38</v>
      </c>
      <c r="F2211" s="28">
        <f>E2389</f>
        <v>1898686.2999999989</v>
      </c>
      <c r="G2211" s="27"/>
    </row>
    <row r="2212" spans="1:7" x14ac:dyDescent="0.25">
      <c r="A2212" s="23" t="s">
        <v>1699</v>
      </c>
      <c r="B2212" s="23" t="s">
        <v>2</v>
      </c>
      <c r="C2212" s="29"/>
      <c r="D2212" s="29"/>
      <c r="E2212" s="29"/>
      <c r="F2212" s="29"/>
      <c r="G2212" s="29"/>
    </row>
    <row r="2213" spans="1:7" x14ac:dyDescent="0.25">
      <c r="A2213" s="23" t="s">
        <v>2026</v>
      </c>
      <c r="B2213" s="23" t="s">
        <v>2</v>
      </c>
      <c r="C2213" s="29"/>
      <c r="D2213" s="29"/>
      <c r="E2213" s="29"/>
      <c r="F2213" s="29"/>
      <c r="G2213" s="29"/>
    </row>
    <row r="2214" spans="1:7" x14ac:dyDescent="0.25">
      <c r="A2214" s="23" t="s">
        <v>2102</v>
      </c>
      <c r="B2214" s="23" t="s">
        <v>2</v>
      </c>
      <c r="C2214" s="29"/>
      <c r="D2214" s="29"/>
      <c r="E2214" s="29"/>
      <c r="F2214" s="29"/>
      <c r="G2214" s="29"/>
    </row>
    <row r="2215" spans="1:7" x14ac:dyDescent="0.25">
      <c r="A2215" s="23" t="s">
        <v>2111</v>
      </c>
      <c r="B2215" s="23" t="s">
        <v>2</v>
      </c>
      <c r="C2215" s="29"/>
      <c r="D2215" s="29"/>
      <c r="E2215" s="29"/>
      <c r="F2215" s="29"/>
      <c r="G2215" s="29"/>
    </row>
    <row r="2216" spans="1:7" x14ac:dyDescent="0.25">
      <c r="A2216" s="30" t="s">
        <v>3041</v>
      </c>
      <c r="B2216" s="30" t="s">
        <v>2608</v>
      </c>
      <c r="C2216" s="31">
        <v>0</v>
      </c>
      <c r="D2216" s="31">
        <v>0</v>
      </c>
      <c r="E2216" s="31">
        <v>0</v>
      </c>
      <c r="F2216" s="31">
        <v>0</v>
      </c>
      <c r="G2216" s="29"/>
    </row>
    <row r="2217" spans="1:7" x14ac:dyDescent="0.25">
      <c r="A2217" s="30" t="s">
        <v>3042</v>
      </c>
      <c r="B2217" s="30" t="s">
        <v>2123</v>
      </c>
      <c r="C2217" s="31">
        <v>77.41</v>
      </c>
      <c r="D2217" s="31">
        <v>0</v>
      </c>
      <c r="E2217" s="31">
        <v>0</v>
      </c>
      <c r="F2217" s="31">
        <v>0</v>
      </c>
      <c r="G2217" s="29"/>
    </row>
    <row r="2218" spans="1:7" x14ac:dyDescent="0.25">
      <c r="A2218" s="23" t="s">
        <v>2126</v>
      </c>
      <c r="B2218" s="23" t="s">
        <v>2</v>
      </c>
      <c r="C2218" s="32">
        <v>77.41</v>
      </c>
      <c r="D2218" s="32">
        <v>0</v>
      </c>
      <c r="E2218" s="32">
        <f>SUM(E2216:E2217)</f>
        <v>0</v>
      </c>
      <c r="F2218" s="32">
        <f>SUM(F2216:F2217)</f>
        <v>0</v>
      </c>
      <c r="G2218" s="29"/>
    </row>
    <row r="2219" spans="1:7" x14ac:dyDescent="0.25">
      <c r="A2219" s="23" t="s">
        <v>2</v>
      </c>
      <c r="B2219" s="23" t="s">
        <v>2</v>
      </c>
      <c r="C2219" s="23" t="s">
        <v>2</v>
      </c>
      <c r="D2219" s="23" t="s">
        <v>2</v>
      </c>
      <c r="E2219" s="23" t="s">
        <v>2</v>
      </c>
      <c r="F2219" s="23" t="s">
        <v>2</v>
      </c>
      <c r="G2219" s="29"/>
    </row>
    <row r="2220" spans="1:7" x14ac:dyDescent="0.25">
      <c r="A2220" s="23" t="s">
        <v>2127</v>
      </c>
      <c r="B2220" s="23" t="s">
        <v>2</v>
      </c>
      <c r="C2220" s="29"/>
      <c r="D2220" s="29"/>
      <c r="E2220" s="29"/>
      <c r="F2220" s="29"/>
      <c r="G2220" s="29"/>
    </row>
    <row r="2221" spans="1:7" x14ac:dyDescent="0.25">
      <c r="A2221" s="30" t="s">
        <v>3043</v>
      </c>
      <c r="B2221" s="30" t="s">
        <v>3044</v>
      </c>
      <c r="C2221" s="31">
        <v>129721.74</v>
      </c>
      <c r="D2221" s="31">
        <v>20537.810000000001</v>
      </c>
      <c r="E2221" s="31">
        <v>0</v>
      </c>
      <c r="F2221" s="31">
        <v>0</v>
      </c>
      <c r="G2221" s="29"/>
    </row>
    <row r="2222" spans="1:7" x14ac:dyDescent="0.25">
      <c r="A2222" s="30" t="s">
        <v>3045</v>
      </c>
      <c r="B2222" s="30" t="s">
        <v>3046</v>
      </c>
      <c r="C2222" s="31">
        <v>0</v>
      </c>
      <c r="D2222" s="31">
        <v>0</v>
      </c>
      <c r="E2222" s="31">
        <v>2421935</v>
      </c>
      <c r="F2222" s="31">
        <v>0</v>
      </c>
      <c r="G2222" s="29"/>
    </row>
    <row r="2223" spans="1:7" x14ac:dyDescent="0.25">
      <c r="A2223" s="30" t="s">
        <v>3047</v>
      </c>
      <c r="B2223" s="30" t="s">
        <v>3048</v>
      </c>
      <c r="C2223" s="31">
        <v>0</v>
      </c>
      <c r="D2223" s="31">
        <v>0</v>
      </c>
      <c r="E2223" s="31">
        <v>0</v>
      </c>
      <c r="F2223" s="31">
        <v>0</v>
      </c>
      <c r="G2223" s="29"/>
    </row>
    <row r="2224" spans="1:7" x14ac:dyDescent="0.25">
      <c r="A2224" s="23" t="s">
        <v>2157</v>
      </c>
      <c r="B2224" s="23" t="s">
        <v>2</v>
      </c>
      <c r="C2224" s="32">
        <v>129721.74</v>
      </c>
      <c r="D2224" s="32">
        <v>20537.810000000001</v>
      </c>
      <c r="E2224" s="32">
        <f>SUM(E2221:E2223)</f>
        <v>2421935</v>
      </c>
      <c r="F2224" s="32">
        <f>SUM(F2221:F2223)</f>
        <v>0</v>
      </c>
      <c r="G2224" s="29"/>
    </row>
    <row r="2225" spans="1:7" x14ac:dyDescent="0.25">
      <c r="A2225" s="23" t="s">
        <v>2</v>
      </c>
      <c r="B2225" s="23" t="s">
        <v>2</v>
      </c>
      <c r="C2225" s="23" t="s">
        <v>2</v>
      </c>
      <c r="D2225" s="23" t="s">
        <v>2</v>
      </c>
      <c r="E2225" s="23" t="s">
        <v>2</v>
      </c>
      <c r="F2225" s="23" t="s">
        <v>2</v>
      </c>
      <c r="G2225" s="29"/>
    </row>
    <row r="2226" spans="1:7" x14ac:dyDescent="0.25">
      <c r="A2226" s="30" t="s">
        <v>3049</v>
      </c>
      <c r="B2226" s="30" t="s">
        <v>3050</v>
      </c>
      <c r="C2226" s="31">
        <v>0</v>
      </c>
      <c r="D2226" s="31">
        <v>0</v>
      </c>
      <c r="E2226" s="31">
        <v>0</v>
      </c>
      <c r="F2226" s="31">
        <v>0</v>
      </c>
      <c r="G2226" s="29"/>
    </row>
    <row r="2227" spans="1:7" x14ac:dyDescent="0.25">
      <c r="A2227" s="30"/>
      <c r="B2227" s="30"/>
      <c r="C2227" s="31"/>
      <c r="D2227" s="31"/>
      <c r="E2227" s="31"/>
      <c r="F2227" s="31"/>
      <c r="G2227" s="29"/>
    </row>
    <row r="2228" spans="1:7" x14ac:dyDescent="0.25">
      <c r="A2228" s="23" t="s">
        <v>2174</v>
      </c>
      <c r="B2228" s="23" t="s">
        <v>2</v>
      </c>
      <c r="C2228" s="32">
        <v>129799.15</v>
      </c>
      <c r="D2228" s="32">
        <v>20537.810000000001</v>
      </c>
      <c r="E2228" s="32">
        <f>E2226+E2224+E2218</f>
        <v>2421935</v>
      </c>
      <c r="F2228" s="32">
        <f>F2226+F2224+F2218</f>
        <v>0</v>
      </c>
      <c r="G2228" s="29"/>
    </row>
    <row r="2229" spans="1:7" x14ac:dyDescent="0.25">
      <c r="A2229" s="23" t="s">
        <v>2</v>
      </c>
      <c r="B2229" s="23" t="s">
        <v>2</v>
      </c>
      <c r="C2229" s="23" t="s">
        <v>2</v>
      </c>
      <c r="D2229" s="23" t="s">
        <v>2</v>
      </c>
      <c r="E2229" s="23" t="s">
        <v>2</v>
      </c>
      <c r="F2229" s="23" t="s">
        <v>2</v>
      </c>
      <c r="G2229" s="29"/>
    </row>
    <row r="2230" spans="1:7" x14ac:dyDescent="0.25">
      <c r="A2230" s="23" t="s">
        <v>2706</v>
      </c>
      <c r="B2230" s="23" t="s">
        <v>2</v>
      </c>
      <c r="C2230" s="29"/>
      <c r="D2230" s="29"/>
      <c r="E2230" s="29"/>
      <c r="F2230" s="29"/>
      <c r="G2230" s="29"/>
    </row>
    <row r="2231" spans="1:7" x14ac:dyDescent="0.25">
      <c r="A2231" s="23" t="s">
        <v>2707</v>
      </c>
      <c r="B2231" s="23" t="s">
        <v>2</v>
      </c>
      <c r="C2231" s="29"/>
      <c r="D2231" s="29"/>
      <c r="E2231" s="29"/>
      <c r="F2231" s="29"/>
      <c r="G2231" s="29"/>
    </row>
    <row r="2232" spans="1:7" x14ac:dyDescent="0.25">
      <c r="A2232" s="30" t="s">
        <v>3051</v>
      </c>
      <c r="B2232" s="30" t="s">
        <v>3052</v>
      </c>
      <c r="C2232" s="31">
        <v>1485311.07</v>
      </c>
      <c r="D2232" s="31">
        <v>769446.01</v>
      </c>
      <c r="E2232" s="31">
        <v>1433793</v>
      </c>
      <c r="F2232" s="31">
        <v>0</v>
      </c>
      <c r="G2232" s="29"/>
    </row>
    <row r="2233" spans="1:7" x14ac:dyDescent="0.25">
      <c r="A2233" s="30" t="s">
        <v>3053</v>
      </c>
      <c r="B2233" s="30" t="s">
        <v>3054</v>
      </c>
      <c r="C2233" s="31">
        <v>42164.87</v>
      </c>
      <c r="D2233" s="31">
        <v>20535.47</v>
      </c>
      <c r="E2233" s="31">
        <v>40000</v>
      </c>
      <c r="F2233" s="31">
        <v>0</v>
      </c>
      <c r="G2233" s="29"/>
    </row>
    <row r="2234" spans="1:7" x14ac:dyDescent="0.25">
      <c r="A2234" s="30" t="s">
        <v>3055</v>
      </c>
      <c r="B2234" s="30" t="s">
        <v>3056</v>
      </c>
      <c r="C2234" s="31">
        <v>0</v>
      </c>
      <c r="D2234" s="31">
        <v>0</v>
      </c>
      <c r="E2234" s="31">
        <v>0</v>
      </c>
      <c r="F2234" s="31">
        <v>0</v>
      </c>
      <c r="G2234" s="29"/>
    </row>
    <row r="2235" spans="1:7" x14ac:dyDescent="0.25">
      <c r="A2235" s="30" t="s">
        <v>3057</v>
      </c>
      <c r="B2235" s="30" t="s">
        <v>3058</v>
      </c>
      <c r="C2235" s="31">
        <v>18900</v>
      </c>
      <c r="D2235" s="31">
        <v>5000</v>
      </c>
      <c r="E2235" s="31">
        <v>10000</v>
      </c>
      <c r="F2235" s="31">
        <v>0</v>
      </c>
      <c r="G2235" s="29"/>
    </row>
    <row r="2236" spans="1:7" x14ac:dyDescent="0.25">
      <c r="A2236" s="30" t="s">
        <v>3059</v>
      </c>
      <c r="B2236" s="30" t="s">
        <v>2989</v>
      </c>
      <c r="C2236" s="31">
        <v>1974.5</v>
      </c>
      <c r="D2236" s="31">
        <v>689.5</v>
      </c>
      <c r="E2236" s="31">
        <v>3500</v>
      </c>
      <c r="F2236" s="31">
        <v>0</v>
      </c>
      <c r="G2236" s="29"/>
    </row>
    <row r="2237" spans="1:7" x14ac:dyDescent="0.25">
      <c r="A2237" s="23" t="s">
        <v>2710</v>
      </c>
      <c r="B2237" s="23" t="s">
        <v>2</v>
      </c>
      <c r="C2237" s="32">
        <v>1548350.44</v>
      </c>
      <c r="D2237" s="32">
        <v>795670.98</v>
      </c>
      <c r="E2237" s="32">
        <f>SUM(E2232:E2236)</f>
        <v>1487293</v>
      </c>
      <c r="F2237" s="32">
        <f>SUM(F2232:F2236)</f>
        <v>0</v>
      </c>
      <c r="G2237" s="29"/>
    </row>
    <row r="2238" spans="1:7" x14ac:dyDescent="0.25">
      <c r="A2238" s="23" t="s">
        <v>2</v>
      </c>
      <c r="B2238" s="23" t="s">
        <v>2</v>
      </c>
      <c r="C2238" s="23" t="s">
        <v>2</v>
      </c>
      <c r="D2238" s="23" t="s">
        <v>2</v>
      </c>
      <c r="E2238" s="23" t="s">
        <v>2</v>
      </c>
      <c r="F2238" s="23" t="s">
        <v>2</v>
      </c>
      <c r="G2238" s="29"/>
    </row>
    <row r="2239" spans="1:7" x14ac:dyDescent="0.25">
      <c r="A2239" s="23" t="s">
        <v>2711</v>
      </c>
      <c r="B2239" s="23" t="s">
        <v>2</v>
      </c>
      <c r="C2239" s="29"/>
      <c r="D2239" s="29"/>
      <c r="E2239" s="29"/>
      <c r="F2239" s="29"/>
      <c r="G2239" s="29"/>
    </row>
    <row r="2240" spans="1:7" x14ac:dyDescent="0.25">
      <c r="A2240" s="30" t="s">
        <v>3060</v>
      </c>
      <c r="B2240" s="30" t="s">
        <v>3061</v>
      </c>
      <c r="C2240" s="31">
        <v>0</v>
      </c>
      <c r="D2240" s="31">
        <v>0</v>
      </c>
      <c r="E2240" s="31">
        <v>0</v>
      </c>
      <c r="F2240" s="31">
        <v>0</v>
      </c>
      <c r="G2240" s="29"/>
    </row>
    <row r="2241" spans="1:7" x14ac:dyDescent="0.25">
      <c r="A2241" s="30" t="s">
        <v>3062</v>
      </c>
      <c r="B2241" s="30" t="s">
        <v>3063</v>
      </c>
      <c r="C2241" s="31">
        <v>0</v>
      </c>
      <c r="D2241" s="31">
        <v>0</v>
      </c>
      <c r="E2241" s="31">
        <v>0</v>
      </c>
      <c r="F2241" s="31">
        <v>0</v>
      </c>
      <c r="G2241" s="29"/>
    </row>
    <row r="2242" spans="1:7" x14ac:dyDescent="0.25">
      <c r="A2242" s="30" t="s">
        <v>3064</v>
      </c>
      <c r="B2242" s="30" t="s">
        <v>3065</v>
      </c>
      <c r="C2242" s="31">
        <v>0</v>
      </c>
      <c r="D2242" s="31">
        <v>2100.13</v>
      </c>
      <c r="E2242" s="31">
        <v>0</v>
      </c>
      <c r="F2242" s="31">
        <v>0</v>
      </c>
      <c r="G2242" s="29"/>
    </row>
    <row r="2243" spans="1:7" x14ac:dyDescent="0.25">
      <c r="A2243" s="30" t="s">
        <v>3066</v>
      </c>
      <c r="B2243" s="30" t="s">
        <v>3067</v>
      </c>
      <c r="C2243" s="31">
        <v>0</v>
      </c>
      <c r="D2243" s="31">
        <v>8779.18</v>
      </c>
      <c r="E2243" s="31">
        <v>0</v>
      </c>
      <c r="F2243" s="31">
        <v>0</v>
      </c>
      <c r="G2243" s="29"/>
    </row>
    <row r="2244" spans="1:7" x14ac:dyDescent="0.25">
      <c r="A2244" s="30" t="s">
        <v>3068</v>
      </c>
      <c r="B2244" s="30" t="s">
        <v>3069</v>
      </c>
      <c r="C2244" s="31">
        <v>0</v>
      </c>
      <c r="D2244" s="31">
        <v>0</v>
      </c>
      <c r="E2244" s="31">
        <v>0</v>
      </c>
      <c r="F2244" s="31">
        <v>0</v>
      </c>
      <c r="G2244" s="29"/>
    </row>
    <row r="2245" spans="1:7" x14ac:dyDescent="0.25">
      <c r="A2245" s="30" t="s">
        <v>3070</v>
      </c>
      <c r="B2245" s="30" t="s">
        <v>3071</v>
      </c>
      <c r="C2245" s="31">
        <v>38717.1</v>
      </c>
      <c r="D2245" s="31">
        <v>74443.09</v>
      </c>
      <c r="E2245" s="31">
        <v>25000</v>
      </c>
      <c r="F2245" s="31">
        <v>0</v>
      </c>
      <c r="G2245" s="29"/>
    </row>
    <row r="2246" spans="1:7" x14ac:dyDescent="0.25">
      <c r="A2246" s="30" t="s">
        <v>3072</v>
      </c>
      <c r="B2246" s="30" t="s">
        <v>3073</v>
      </c>
      <c r="C2246" s="31">
        <v>84000</v>
      </c>
      <c r="D2246" s="31">
        <v>29000</v>
      </c>
      <c r="E2246" s="31">
        <v>30000</v>
      </c>
      <c r="F2246" s="31">
        <v>0</v>
      </c>
      <c r="G2246" s="29"/>
    </row>
    <row r="2247" spans="1:7" x14ac:dyDescent="0.25">
      <c r="A2247" s="23" t="s">
        <v>2720</v>
      </c>
      <c r="B2247" s="23" t="s">
        <v>2</v>
      </c>
      <c r="C2247" s="32">
        <v>122717.1</v>
      </c>
      <c r="D2247" s="32">
        <v>114322.4</v>
      </c>
      <c r="E2247" s="32">
        <f>SUM(E2240:E2246)</f>
        <v>55000</v>
      </c>
      <c r="F2247" s="32">
        <f>SUM(F2240:F2246)</f>
        <v>0</v>
      </c>
      <c r="G2247" s="29"/>
    </row>
    <row r="2248" spans="1:7" x14ac:dyDescent="0.25">
      <c r="A2248" s="23" t="s">
        <v>2</v>
      </c>
      <c r="B2248" s="23" t="s">
        <v>2</v>
      </c>
      <c r="C2248" s="23" t="s">
        <v>2</v>
      </c>
      <c r="D2248" s="23" t="s">
        <v>2</v>
      </c>
      <c r="E2248" s="23" t="s">
        <v>2</v>
      </c>
      <c r="F2248" s="23" t="s">
        <v>2</v>
      </c>
      <c r="G2248" s="29"/>
    </row>
    <row r="2249" spans="1:7" x14ac:dyDescent="0.25">
      <c r="A2249" s="23" t="s">
        <v>2721</v>
      </c>
      <c r="B2249" s="23" t="s">
        <v>2</v>
      </c>
      <c r="C2249" s="32">
        <v>1671067.54</v>
      </c>
      <c r="D2249" s="32">
        <v>909993.38</v>
      </c>
      <c r="E2249" s="32">
        <f>E2247+E2237</f>
        <v>1542293</v>
      </c>
      <c r="F2249" s="32">
        <f>F2247+F2237</f>
        <v>0</v>
      </c>
      <c r="G2249" s="29"/>
    </row>
    <row r="2250" spans="1:7" x14ac:dyDescent="0.25">
      <c r="A2250" s="23" t="s">
        <v>2</v>
      </c>
      <c r="B2250" s="23" t="s">
        <v>2</v>
      </c>
      <c r="C2250" s="23" t="s">
        <v>2</v>
      </c>
      <c r="D2250" s="23" t="s">
        <v>2</v>
      </c>
      <c r="E2250" s="23" t="s">
        <v>2</v>
      </c>
      <c r="F2250" s="23" t="s">
        <v>2</v>
      </c>
      <c r="G2250" s="29"/>
    </row>
    <row r="2251" spans="1:7" x14ac:dyDescent="0.25">
      <c r="A2251" s="30" t="s">
        <v>3074</v>
      </c>
      <c r="B2251" s="30" t="s">
        <v>2584</v>
      </c>
      <c r="C2251" s="31">
        <v>791.09</v>
      </c>
      <c r="D2251" s="31">
        <v>2736.83</v>
      </c>
      <c r="E2251" s="31">
        <v>0</v>
      </c>
      <c r="F2251" s="31">
        <v>0</v>
      </c>
      <c r="G2251" s="29"/>
    </row>
    <row r="2252" spans="1:7" x14ac:dyDescent="0.25">
      <c r="A2252" s="30" t="s">
        <v>3075</v>
      </c>
      <c r="B2252" s="30" t="s">
        <v>2930</v>
      </c>
      <c r="C2252" s="31">
        <v>132</v>
      </c>
      <c r="D2252" s="31">
        <v>108</v>
      </c>
      <c r="E2252" s="31">
        <v>0</v>
      </c>
      <c r="F2252" s="31">
        <v>0</v>
      </c>
      <c r="G2252" s="29"/>
    </row>
    <row r="2253" spans="1:7" x14ac:dyDescent="0.25">
      <c r="A2253" s="30" t="s">
        <v>3076</v>
      </c>
      <c r="B2253" s="30" t="s">
        <v>2934</v>
      </c>
      <c r="C2253" s="31">
        <v>0</v>
      </c>
      <c r="D2253" s="31">
        <v>314.12</v>
      </c>
      <c r="E2253" s="31">
        <v>0</v>
      </c>
      <c r="F2253" s="31">
        <v>0</v>
      </c>
      <c r="G2253" s="29"/>
    </row>
    <row r="2254" spans="1:7" x14ac:dyDescent="0.25">
      <c r="A2254" s="30"/>
      <c r="B2254" s="30"/>
      <c r="C2254" s="31"/>
      <c r="D2254" s="31"/>
      <c r="E2254" s="31"/>
      <c r="F2254" s="31"/>
      <c r="G2254" s="29"/>
    </row>
    <row r="2255" spans="1:7" x14ac:dyDescent="0.25">
      <c r="A2255" s="23" t="s">
        <v>2175</v>
      </c>
      <c r="B2255" s="23" t="s">
        <v>2</v>
      </c>
      <c r="C2255" s="29"/>
      <c r="D2255" s="29"/>
      <c r="E2255" s="29"/>
      <c r="F2255" s="29"/>
      <c r="G2255" s="29"/>
    </row>
    <row r="2256" spans="1:7" x14ac:dyDescent="0.25">
      <c r="A2256" s="23" t="s">
        <v>2176</v>
      </c>
      <c r="B2256" s="23" t="s">
        <v>2</v>
      </c>
      <c r="C2256" s="29"/>
      <c r="D2256" s="29"/>
      <c r="E2256" s="29"/>
      <c r="F2256" s="29"/>
      <c r="G2256" s="29"/>
    </row>
    <row r="2257" spans="1:7" x14ac:dyDescent="0.25">
      <c r="A2257" s="30" t="s">
        <v>3077</v>
      </c>
      <c r="B2257" s="30" t="s">
        <v>2409</v>
      </c>
      <c r="C2257" s="31">
        <v>867.63</v>
      </c>
      <c r="D2257" s="31">
        <v>797.25</v>
      </c>
      <c r="E2257" s="31">
        <v>0</v>
      </c>
      <c r="F2257" s="31">
        <v>0</v>
      </c>
      <c r="G2257" s="29"/>
    </row>
    <row r="2258" spans="1:7" x14ac:dyDescent="0.25">
      <c r="A2258" s="30" t="s">
        <v>3078</v>
      </c>
      <c r="B2258" s="30" t="s">
        <v>2703</v>
      </c>
      <c r="C2258" s="31">
        <v>0</v>
      </c>
      <c r="D2258" s="31">
        <v>0</v>
      </c>
      <c r="E2258" s="31">
        <v>0</v>
      </c>
      <c r="F2258" s="31">
        <v>0</v>
      </c>
      <c r="G2258" s="29"/>
    </row>
    <row r="2259" spans="1:7" x14ac:dyDescent="0.25">
      <c r="A2259" s="30" t="s">
        <v>3079</v>
      </c>
      <c r="B2259" s="30" t="s">
        <v>2938</v>
      </c>
      <c r="C2259" s="31">
        <v>1.77</v>
      </c>
      <c r="D2259" s="31">
        <v>0.2</v>
      </c>
      <c r="E2259" s="31">
        <v>0</v>
      </c>
      <c r="F2259" s="31">
        <v>0</v>
      </c>
      <c r="G2259" s="29"/>
    </row>
    <row r="2260" spans="1:7" x14ac:dyDescent="0.25">
      <c r="A2260" s="23" t="s">
        <v>2179</v>
      </c>
      <c r="B2260" s="23" t="s">
        <v>2</v>
      </c>
      <c r="C2260" s="32">
        <v>869.4</v>
      </c>
      <c r="D2260" s="32">
        <v>797.45</v>
      </c>
      <c r="E2260" s="32">
        <f>SUM(E2257:E2259)</f>
        <v>0</v>
      </c>
      <c r="F2260" s="32">
        <f>SUM(F2257:F2259)</f>
        <v>0</v>
      </c>
      <c r="G2260" s="29"/>
    </row>
    <row r="2261" spans="1:7" x14ac:dyDescent="0.25">
      <c r="A2261" s="23" t="s">
        <v>2</v>
      </c>
      <c r="B2261" s="23" t="s">
        <v>2</v>
      </c>
      <c r="C2261" s="23" t="s">
        <v>2</v>
      </c>
      <c r="D2261" s="23" t="s">
        <v>2</v>
      </c>
      <c r="E2261" s="23" t="s">
        <v>2</v>
      </c>
      <c r="F2261" s="23" t="s">
        <v>2</v>
      </c>
      <c r="G2261" s="29"/>
    </row>
    <row r="2262" spans="1:7" x14ac:dyDescent="0.25">
      <c r="A2262" s="23" t="s">
        <v>2581</v>
      </c>
      <c r="B2262" s="23" t="s">
        <v>2</v>
      </c>
      <c r="C2262" s="29"/>
      <c r="D2262" s="29"/>
      <c r="E2262" s="29"/>
      <c r="F2262" s="29"/>
      <c r="G2262" s="29"/>
    </row>
    <row r="2263" spans="1:7" x14ac:dyDescent="0.25">
      <c r="A2263" s="30" t="s">
        <v>3080</v>
      </c>
      <c r="B2263" s="30" t="s">
        <v>2942</v>
      </c>
      <c r="C2263" s="31">
        <v>0</v>
      </c>
      <c r="D2263" s="31">
        <v>0</v>
      </c>
      <c r="E2263" s="31">
        <v>0</v>
      </c>
      <c r="F2263" s="31">
        <v>0</v>
      </c>
      <c r="G2263" s="29"/>
    </row>
    <row r="2264" spans="1:7" x14ac:dyDescent="0.25">
      <c r="A2264" s="23" t="s">
        <v>2585</v>
      </c>
      <c r="B2264" s="23" t="s">
        <v>2</v>
      </c>
      <c r="C2264" s="32">
        <v>0</v>
      </c>
      <c r="D2264" s="32">
        <v>0</v>
      </c>
      <c r="E2264" s="32">
        <f>SUM(E2263)</f>
        <v>0</v>
      </c>
      <c r="F2264" s="32">
        <f>SUM(F2263)</f>
        <v>0</v>
      </c>
      <c r="G2264" s="29"/>
    </row>
    <row r="2265" spans="1:7" x14ac:dyDescent="0.25">
      <c r="A2265" s="23" t="s">
        <v>2</v>
      </c>
      <c r="B2265" s="23" t="s">
        <v>2</v>
      </c>
      <c r="C2265" s="23" t="s">
        <v>2</v>
      </c>
      <c r="D2265" s="23" t="s">
        <v>2</v>
      </c>
      <c r="E2265" s="23" t="s">
        <v>2</v>
      </c>
      <c r="F2265" s="23" t="s">
        <v>2</v>
      </c>
      <c r="G2265" s="29"/>
    </row>
    <row r="2266" spans="1:7" x14ac:dyDescent="0.25">
      <c r="A2266" s="23" t="s">
        <v>2180</v>
      </c>
      <c r="B2266" s="23" t="s">
        <v>2</v>
      </c>
      <c r="C2266" s="32">
        <v>869.4</v>
      </c>
      <c r="D2266" s="32">
        <v>797.45</v>
      </c>
      <c r="E2266" s="32">
        <f>E2264+E2260</f>
        <v>0</v>
      </c>
      <c r="F2266" s="32">
        <f>F2264+F2260</f>
        <v>0</v>
      </c>
      <c r="G2266" s="29"/>
    </row>
    <row r="2267" spans="1:7" x14ac:dyDescent="0.25">
      <c r="A2267" s="23" t="s">
        <v>2</v>
      </c>
      <c r="B2267" s="23" t="s">
        <v>2</v>
      </c>
      <c r="C2267" s="23" t="s">
        <v>2</v>
      </c>
      <c r="D2267" s="23" t="s">
        <v>2</v>
      </c>
      <c r="E2267" s="23" t="s">
        <v>2</v>
      </c>
      <c r="F2267" s="23" t="s">
        <v>2</v>
      </c>
      <c r="G2267" s="29"/>
    </row>
    <row r="2268" spans="1:7" x14ac:dyDescent="0.25">
      <c r="A2268" s="23" t="s">
        <v>2532</v>
      </c>
      <c r="B2268" s="23" t="s">
        <v>2</v>
      </c>
      <c r="C2268" s="29"/>
      <c r="D2268" s="29"/>
      <c r="E2268" s="29"/>
      <c r="F2268" s="29"/>
      <c r="G2268" s="29"/>
    </row>
    <row r="2269" spans="1:7" x14ac:dyDescent="0.25">
      <c r="A2269" s="30" t="s">
        <v>3081</v>
      </c>
      <c r="B2269" s="30" t="s">
        <v>3082</v>
      </c>
      <c r="C2269" s="31">
        <v>0</v>
      </c>
      <c r="D2269" s="31">
        <v>0</v>
      </c>
      <c r="E2269" s="31">
        <v>0</v>
      </c>
      <c r="F2269" s="31">
        <v>0</v>
      </c>
      <c r="G2269" s="29"/>
    </row>
    <row r="2270" spans="1:7" x14ac:dyDescent="0.25">
      <c r="A2270" s="23" t="s">
        <v>2537</v>
      </c>
      <c r="B2270" s="23" t="s">
        <v>2</v>
      </c>
      <c r="C2270" s="32">
        <v>0</v>
      </c>
      <c r="D2270" s="32">
        <v>0</v>
      </c>
      <c r="E2270" s="32">
        <f>SUM(E2269)</f>
        <v>0</v>
      </c>
      <c r="F2270" s="32">
        <f>SUM(F2269)</f>
        <v>0</v>
      </c>
      <c r="G2270" s="29"/>
    </row>
    <row r="2271" spans="1:7" x14ac:dyDescent="0.25">
      <c r="A2271" s="23" t="s">
        <v>2</v>
      </c>
      <c r="B2271" s="23" t="s">
        <v>2</v>
      </c>
      <c r="C2271" s="23" t="s">
        <v>2</v>
      </c>
      <c r="D2271" s="23" t="s">
        <v>2</v>
      </c>
      <c r="E2271" s="23" t="s">
        <v>2</v>
      </c>
      <c r="F2271" s="23" t="s">
        <v>2</v>
      </c>
      <c r="G2271" s="29"/>
    </row>
    <row r="2272" spans="1:7" ht="24" x14ac:dyDescent="0.25">
      <c r="A2272" s="23" t="s">
        <v>2948</v>
      </c>
      <c r="B2272" s="23" t="s">
        <v>2</v>
      </c>
      <c r="C2272" s="29"/>
      <c r="D2272" s="29"/>
      <c r="E2272" s="29"/>
      <c r="F2272" s="29"/>
      <c r="G2272" s="29"/>
    </row>
    <row r="2273" spans="1:7" x14ac:dyDescent="0.25">
      <c r="A2273" s="30" t="s">
        <v>3083</v>
      </c>
      <c r="B2273" s="30" t="s">
        <v>2539</v>
      </c>
      <c r="C2273" s="31">
        <v>0</v>
      </c>
      <c r="D2273" s="31">
        <v>0</v>
      </c>
      <c r="E2273" s="31">
        <v>0</v>
      </c>
      <c r="F2273" s="31">
        <v>0</v>
      </c>
      <c r="G2273" s="29"/>
    </row>
    <row r="2274" spans="1:7" ht="24" x14ac:dyDescent="0.25">
      <c r="A2274" s="23" t="s">
        <v>2950</v>
      </c>
      <c r="B2274" s="23" t="s">
        <v>2</v>
      </c>
      <c r="C2274" s="32">
        <v>0</v>
      </c>
      <c r="D2274" s="32">
        <v>0</v>
      </c>
      <c r="E2274" s="32">
        <f>SUM(E2273)</f>
        <v>0</v>
      </c>
      <c r="F2274" s="32">
        <f>SUM(F2273)</f>
        <v>0</v>
      </c>
      <c r="G2274" s="29"/>
    </row>
    <row r="2275" spans="1:7" x14ac:dyDescent="0.25">
      <c r="A2275" s="23" t="s">
        <v>2</v>
      </c>
      <c r="B2275" s="23" t="s">
        <v>2</v>
      </c>
      <c r="C2275" s="23" t="s">
        <v>2</v>
      </c>
      <c r="D2275" s="23" t="s">
        <v>2</v>
      </c>
      <c r="E2275" s="23" t="s">
        <v>2</v>
      </c>
      <c r="F2275" s="23" t="s">
        <v>2</v>
      </c>
      <c r="G2275" s="29"/>
    </row>
    <row r="2276" spans="1:7" x14ac:dyDescent="0.25">
      <c r="A2276" s="23" t="s">
        <v>2553</v>
      </c>
      <c r="B2276" s="23" t="s">
        <v>2</v>
      </c>
      <c r="C2276" s="29"/>
      <c r="D2276" s="29"/>
      <c r="E2276" s="29"/>
      <c r="F2276" s="29"/>
      <c r="G2276" s="29"/>
    </row>
    <row r="2277" spans="1:7" ht="24" x14ac:dyDescent="0.25">
      <c r="A2277" s="23" t="s">
        <v>3006</v>
      </c>
      <c r="B2277" s="23" t="s">
        <v>2</v>
      </c>
      <c r="C2277" s="29"/>
      <c r="D2277" s="29"/>
      <c r="E2277" s="29"/>
      <c r="F2277" s="29"/>
      <c r="G2277" s="29"/>
    </row>
    <row r="2278" spans="1:7" x14ac:dyDescent="0.25">
      <c r="A2278" s="30" t="s">
        <v>3084</v>
      </c>
      <c r="B2278" s="30" t="s">
        <v>2961</v>
      </c>
      <c r="C2278" s="31">
        <v>0</v>
      </c>
      <c r="D2278" s="31">
        <v>0</v>
      </c>
      <c r="E2278" s="31">
        <v>2750000</v>
      </c>
      <c r="F2278" s="31">
        <v>0</v>
      </c>
      <c r="G2278" s="29"/>
    </row>
    <row r="2279" spans="1:7" ht="24" x14ac:dyDescent="0.25">
      <c r="A2279" s="23" t="s">
        <v>3011</v>
      </c>
      <c r="B2279" s="23" t="s">
        <v>2</v>
      </c>
      <c r="C2279" s="32">
        <v>0</v>
      </c>
      <c r="D2279" s="32">
        <v>0</v>
      </c>
      <c r="E2279" s="32">
        <f>SUM(E2278)</f>
        <v>2750000</v>
      </c>
      <c r="F2279" s="32">
        <f>SUM(F2278)</f>
        <v>0</v>
      </c>
      <c r="G2279" s="29"/>
    </row>
    <row r="2280" spans="1:7" x14ac:dyDescent="0.25">
      <c r="A2280" s="23" t="s">
        <v>2</v>
      </c>
      <c r="B2280" s="23" t="s">
        <v>2</v>
      </c>
      <c r="C2280" s="23" t="s">
        <v>2</v>
      </c>
      <c r="D2280" s="23" t="s">
        <v>2</v>
      </c>
      <c r="E2280" s="23" t="s">
        <v>2</v>
      </c>
      <c r="F2280" s="23" t="s">
        <v>2</v>
      </c>
      <c r="G2280" s="29"/>
    </row>
    <row r="2281" spans="1:7" x14ac:dyDescent="0.25">
      <c r="A2281" s="23" t="s">
        <v>2724</v>
      </c>
      <c r="B2281" s="23" t="s">
        <v>2</v>
      </c>
      <c r="C2281" s="29"/>
      <c r="D2281" s="29"/>
      <c r="E2281" s="29"/>
      <c r="F2281" s="29"/>
      <c r="G2281" s="29"/>
    </row>
    <row r="2282" spans="1:7" x14ac:dyDescent="0.25">
      <c r="A2282" s="30" t="s">
        <v>3085</v>
      </c>
      <c r="B2282" s="30" t="s">
        <v>2965</v>
      </c>
      <c r="C2282" s="31">
        <v>0</v>
      </c>
      <c r="D2282" s="31">
        <v>0</v>
      </c>
      <c r="E2282" s="31">
        <v>0</v>
      </c>
      <c r="F2282" s="31">
        <v>0</v>
      </c>
      <c r="G2282" s="29"/>
    </row>
    <row r="2283" spans="1:7" x14ac:dyDescent="0.25">
      <c r="A2283" s="30" t="s">
        <v>3086</v>
      </c>
      <c r="B2283" s="30" t="s">
        <v>3087</v>
      </c>
      <c r="C2283" s="31">
        <v>0</v>
      </c>
      <c r="D2283" s="31">
        <v>0</v>
      </c>
      <c r="E2283" s="31">
        <v>0</v>
      </c>
      <c r="F2283" s="31">
        <v>0</v>
      </c>
      <c r="G2283" s="29"/>
    </row>
    <row r="2284" spans="1:7" x14ac:dyDescent="0.25">
      <c r="A2284" s="23" t="s">
        <v>2725</v>
      </c>
      <c r="B2284" s="23" t="s">
        <v>2</v>
      </c>
      <c r="C2284" s="32">
        <v>0</v>
      </c>
      <c r="D2284" s="32">
        <v>0</v>
      </c>
      <c r="E2284" s="32">
        <f>SUM(E2282:E2283)</f>
        <v>0</v>
      </c>
      <c r="F2284" s="32">
        <f>SUM(F2282:F2283)</f>
        <v>0</v>
      </c>
      <c r="G2284" s="29"/>
    </row>
    <row r="2285" spans="1:7" x14ac:dyDescent="0.25">
      <c r="A2285" s="23" t="s">
        <v>2</v>
      </c>
      <c r="B2285" s="23" t="s">
        <v>2</v>
      </c>
      <c r="C2285" s="23" t="s">
        <v>2</v>
      </c>
      <c r="D2285" s="23" t="s">
        <v>2</v>
      </c>
      <c r="E2285" s="23" t="s">
        <v>2</v>
      </c>
      <c r="F2285" s="23" t="s">
        <v>2</v>
      </c>
      <c r="G2285" s="29"/>
    </row>
    <row r="2286" spans="1:7" x14ac:dyDescent="0.25">
      <c r="A2286" s="23" t="s">
        <v>2556</v>
      </c>
      <c r="B2286" s="23" t="s">
        <v>2</v>
      </c>
      <c r="C2286" s="32">
        <v>0</v>
      </c>
      <c r="D2286" s="32">
        <v>0</v>
      </c>
      <c r="E2286" s="32">
        <f>E2284+E2279</f>
        <v>2750000</v>
      </c>
      <c r="F2286" s="32">
        <f>F2284+F2279</f>
        <v>0</v>
      </c>
      <c r="G2286" s="29"/>
    </row>
    <row r="2287" spans="1:7" x14ac:dyDescent="0.25">
      <c r="A2287" s="23" t="s">
        <v>2</v>
      </c>
      <c r="B2287" s="23" t="s">
        <v>2</v>
      </c>
      <c r="C2287" s="23" t="s">
        <v>2</v>
      </c>
      <c r="D2287" s="23" t="s">
        <v>2</v>
      </c>
      <c r="E2287" s="23" t="s">
        <v>2</v>
      </c>
      <c r="F2287" s="23" t="s">
        <v>2</v>
      </c>
      <c r="G2287" s="29"/>
    </row>
    <row r="2288" spans="1:7" x14ac:dyDescent="0.25">
      <c r="A2288" s="23" t="s">
        <v>1827</v>
      </c>
      <c r="B2288" s="23" t="s">
        <v>2</v>
      </c>
      <c r="C2288" s="32">
        <v>1802659.18</v>
      </c>
      <c r="D2288" s="32">
        <v>934487.59</v>
      </c>
      <c r="E2288" s="32">
        <f>E2286+E2274+E2270+E2266+SUM(E2251:E2253)+E2249+E2228</f>
        <v>6714228</v>
      </c>
      <c r="F2288" s="32">
        <f>F2286+F2274+F2270+F2266+SUM(F2251:F2253)+F2249+F2228</f>
        <v>0</v>
      </c>
      <c r="G2288" s="29"/>
    </row>
    <row r="2289" spans="1:6" x14ac:dyDescent="0.25">
      <c r="A2289" s="1" t="s">
        <v>740</v>
      </c>
      <c r="B2289" s="1" t="s">
        <v>2</v>
      </c>
      <c r="C2289" s="1" t="s">
        <v>2</v>
      </c>
      <c r="D2289" s="1" t="s">
        <v>2</v>
      </c>
      <c r="E2289" s="1" t="s">
        <v>2</v>
      </c>
      <c r="F2289" s="1" t="s">
        <v>2</v>
      </c>
    </row>
    <row r="2290" spans="1:6" ht="15" customHeight="1" x14ac:dyDescent="0.25">
      <c r="A2290" s="1" t="s">
        <v>1699</v>
      </c>
      <c r="B2290" s="1" t="s">
        <v>2</v>
      </c>
    </row>
    <row r="2291" spans="1:6" x14ac:dyDescent="0.25">
      <c r="A2291" s="1" t="s">
        <v>1700</v>
      </c>
      <c r="B2291" s="1" t="s">
        <v>2</v>
      </c>
    </row>
    <row r="2292" spans="1:6" ht="15" customHeight="1" x14ac:dyDescent="0.25">
      <c r="A2292" s="2" t="s">
        <v>1701</v>
      </c>
      <c r="B2292" s="2" t="s">
        <v>108</v>
      </c>
      <c r="C2292" s="3">
        <v>211745.82</v>
      </c>
      <c r="D2292" s="3">
        <v>71111.149999999994</v>
      </c>
      <c r="E2292" s="3">
        <v>212817.42</v>
      </c>
      <c r="F2292" s="5">
        <v>0</v>
      </c>
    </row>
    <row r="2293" spans="1:6" ht="15" customHeight="1" x14ac:dyDescent="0.25">
      <c r="A2293" s="2" t="s">
        <v>1702</v>
      </c>
      <c r="B2293" s="2" t="s">
        <v>1703</v>
      </c>
      <c r="C2293" s="3">
        <v>4639.37</v>
      </c>
      <c r="D2293" s="3">
        <v>970.08</v>
      </c>
      <c r="E2293" s="3">
        <v>11575.08</v>
      </c>
      <c r="F2293" s="5">
        <v>0</v>
      </c>
    </row>
    <row r="2294" spans="1:6" ht="15" customHeight="1" x14ac:dyDescent="0.25">
      <c r="A2294" s="2" t="s">
        <v>1704</v>
      </c>
      <c r="B2294" s="2" t="s">
        <v>1705</v>
      </c>
      <c r="C2294" s="3">
        <v>147316.26999999999</v>
      </c>
      <c r="D2294" s="3">
        <v>70882.61</v>
      </c>
      <c r="E2294" s="3">
        <v>156261.23000000001</v>
      </c>
      <c r="F2294" s="5">
        <v>0</v>
      </c>
    </row>
    <row r="2295" spans="1:6" ht="15" customHeight="1" x14ac:dyDescent="0.25">
      <c r="A2295" s="2" t="s">
        <v>1706</v>
      </c>
      <c r="B2295" s="2" t="s">
        <v>786</v>
      </c>
      <c r="C2295" s="3">
        <v>16545.990000000002</v>
      </c>
      <c r="D2295" s="3">
        <v>99.92</v>
      </c>
      <c r="E2295" s="3">
        <v>1493.92</v>
      </c>
      <c r="F2295" s="5">
        <v>0</v>
      </c>
    </row>
    <row r="2296" spans="1:6" ht="15" customHeight="1" x14ac:dyDescent="0.25">
      <c r="A2296" s="2" t="s">
        <v>1707</v>
      </c>
      <c r="B2296" s="2" t="s">
        <v>29</v>
      </c>
      <c r="C2296" s="3">
        <v>73494.14</v>
      </c>
      <c r="D2296" s="3">
        <v>28846.25</v>
      </c>
      <c r="E2296" s="3">
        <v>80055.179999999993</v>
      </c>
      <c r="F2296" s="5">
        <v>0</v>
      </c>
    </row>
    <row r="2297" spans="1:6" ht="15" customHeight="1" x14ac:dyDescent="0.25">
      <c r="A2297" s="2" t="s">
        <v>1708</v>
      </c>
      <c r="B2297" s="2" t="s">
        <v>128</v>
      </c>
      <c r="C2297" s="3">
        <v>5158.3599999999997</v>
      </c>
      <c r="D2297" s="3">
        <v>1271.03</v>
      </c>
      <c r="E2297" s="3">
        <v>5438.68</v>
      </c>
      <c r="F2297" s="5">
        <v>0</v>
      </c>
    </row>
    <row r="2298" spans="1:6" ht="15" customHeight="1" x14ac:dyDescent="0.25">
      <c r="A2298" s="2" t="s">
        <v>1709</v>
      </c>
      <c r="B2298" s="2" t="s">
        <v>33</v>
      </c>
      <c r="C2298" s="3">
        <v>45345.120000000003</v>
      </c>
      <c r="D2298" s="3">
        <v>15980.9</v>
      </c>
      <c r="E2298" s="3">
        <v>42372.59</v>
      </c>
      <c r="F2298" s="5">
        <v>0</v>
      </c>
    </row>
    <row r="2299" spans="1:6" x14ac:dyDescent="0.25">
      <c r="A2299" s="2" t="s">
        <v>1710</v>
      </c>
      <c r="B2299" s="2" t="s">
        <v>113</v>
      </c>
      <c r="C2299" s="3">
        <v>27433.17</v>
      </c>
      <c r="D2299" s="3">
        <v>10769.62</v>
      </c>
      <c r="E2299" s="3">
        <v>29120.01</v>
      </c>
      <c r="F2299" s="5">
        <v>0</v>
      </c>
    </row>
    <row r="2300" spans="1:6" ht="15" customHeight="1" x14ac:dyDescent="0.25">
      <c r="A2300" s="2" t="s">
        <v>1711</v>
      </c>
      <c r="B2300" s="2" t="s">
        <v>13</v>
      </c>
      <c r="C2300" s="3">
        <v>558.33000000000004</v>
      </c>
      <c r="D2300" s="3">
        <v>306.02999999999997</v>
      </c>
      <c r="E2300" s="3">
        <v>561.76</v>
      </c>
      <c r="F2300" s="5">
        <v>0</v>
      </c>
    </row>
    <row r="2301" spans="1:6" ht="15" customHeight="1" x14ac:dyDescent="0.25">
      <c r="A2301" s="2" t="s">
        <v>1712</v>
      </c>
      <c r="B2301" s="2" t="s">
        <v>577</v>
      </c>
      <c r="C2301" s="3">
        <v>327.73</v>
      </c>
      <c r="D2301" s="3">
        <v>2.0099999999999998</v>
      </c>
      <c r="E2301" s="3">
        <v>39.450000000000003</v>
      </c>
      <c r="F2301" s="5">
        <v>0</v>
      </c>
    </row>
    <row r="2302" spans="1:6" ht="15" customHeight="1" x14ac:dyDescent="0.25">
      <c r="A2302" s="2" t="s">
        <v>1713</v>
      </c>
      <c r="B2302" s="2" t="s">
        <v>579</v>
      </c>
      <c r="C2302" s="3">
        <v>1869.94</v>
      </c>
      <c r="D2302" s="3">
        <v>11.7</v>
      </c>
      <c r="E2302" s="3">
        <v>177.13</v>
      </c>
      <c r="F2302" s="5">
        <v>0</v>
      </c>
    </row>
    <row r="2303" spans="1:6" ht="15" customHeight="1" x14ac:dyDescent="0.25">
      <c r="A2303" s="2" t="s">
        <v>1714</v>
      </c>
      <c r="B2303" s="2" t="s">
        <v>581</v>
      </c>
      <c r="C2303" s="3">
        <v>1245.48</v>
      </c>
      <c r="D2303" s="3">
        <v>7.55</v>
      </c>
      <c r="E2303" s="3">
        <v>114.28</v>
      </c>
      <c r="F2303" s="5">
        <v>0</v>
      </c>
    </row>
    <row r="2304" spans="1:6" x14ac:dyDescent="0.25">
      <c r="A2304" s="2" t="s">
        <v>1715</v>
      </c>
      <c r="B2304" s="2" t="s">
        <v>1716</v>
      </c>
      <c r="C2304" s="3">
        <v>393.62</v>
      </c>
      <c r="D2304" s="3">
        <v>112.4</v>
      </c>
      <c r="E2304" s="3">
        <v>1109.48</v>
      </c>
      <c r="F2304" s="5">
        <v>0</v>
      </c>
    </row>
    <row r="2305" spans="1:6" ht="15" customHeight="1" x14ac:dyDescent="0.25">
      <c r="A2305" s="2" t="s">
        <v>1717</v>
      </c>
      <c r="B2305" s="2" t="s">
        <v>585</v>
      </c>
      <c r="C2305" s="3">
        <v>630</v>
      </c>
      <c r="D2305" s="3">
        <v>0</v>
      </c>
      <c r="E2305" s="3">
        <v>35</v>
      </c>
      <c r="F2305" s="5">
        <v>0</v>
      </c>
    </row>
    <row r="2306" spans="1:6" ht="15" customHeight="1" x14ac:dyDescent="0.25">
      <c r="A2306" s="2" t="s">
        <v>1718</v>
      </c>
      <c r="B2306" s="2" t="s">
        <v>37</v>
      </c>
      <c r="C2306" s="3">
        <v>214.84</v>
      </c>
      <c r="D2306" s="3">
        <v>159.54</v>
      </c>
      <c r="E2306" s="3">
        <v>500</v>
      </c>
      <c r="F2306" s="5">
        <v>0</v>
      </c>
    </row>
    <row r="2307" spans="1:6" ht="15" customHeight="1" x14ac:dyDescent="0.25">
      <c r="A2307" s="2" t="s">
        <v>1719</v>
      </c>
      <c r="B2307" s="2" t="s">
        <v>1720</v>
      </c>
      <c r="C2307" s="3">
        <v>10715.51</v>
      </c>
      <c r="D2307" s="3">
        <v>3026.54</v>
      </c>
      <c r="E2307" s="3">
        <v>5000</v>
      </c>
      <c r="F2307" s="5">
        <v>0</v>
      </c>
    </row>
    <row r="2308" spans="1:6" ht="15" customHeight="1" x14ac:dyDescent="0.25">
      <c r="A2308" s="2" t="s">
        <v>1721</v>
      </c>
      <c r="B2308" s="2" t="s">
        <v>1722</v>
      </c>
      <c r="C2308" s="3">
        <v>4469.12</v>
      </c>
      <c r="D2308" s="3">
        <v>0</v>
      </c>
      <c r="E2308" s="3">
        <v>5000</v>
      </c>
      <c r="F2308" s="5">
        <v>0</v>
      </c>
    </row>
    <row r="2309" spans="1:6" ht="15" customHeight="1" x14ac:dyDescent="0.25">
      <c r="A2309" s="2" t="s">
        <v>1723</v>
      </c>
      <c r="B2309" s="2" t="s">
        <v>229</v>
      </c>
      <c r="C2309" s="3">
        <v>755.9</v>
      </c>
      <c r="D2309" s="3">
        <v>530.02</v>
      </c>
      <c r="E2309" s="3">
        <v>2000</v>
      </c>
      <c r="F2309" s="5">
        <v>0</v>
      </c>
    </row>
    <row r="2310" spans="1:6" ht="15" customHeight="1" x14ac:dyDescent="0.25">
      <c r="A2310" s="2" t="s">
        <v>1724</v>
      </c>
      <c r="B2310" s="2" t="s">
        <v>940</v>
      </c>
      <c r="C2310" s="3">
        <v>706.83</v>
      </c>
      <c r="D2310" s="3">
        <v>96.73</v>
      </c>
      <c r="E2310" s="3">
        <v>1200</v>
      </c>
      <c r="F2310" s="5">
        <v>0</v>
      </c>
    </row>
    <row r="2311" spans="1:6" ht="15" customHeight="1" x14ac:dyDescent="0.25">
      <c r="A2311" s="2" t="s">
        <v>1725</v>
      </c>
      <c r="B2311" s="2" t="s">
        <v>907</v>
      </c>
      <c r="C2311" s="3">
        <v>98251.95</v>
      </c>
      <c r="D2311" s="3">
        <v>83379.05</v>
      </c>
      <c r="E2311" s="3">
        <v>83379.05</v>
      </c>
      <c r="F2311" s="5">
        <v>0</v>
      </c>
    </row>
    <row r="2312" spans="1:6" ht="15" customHeight="1" x14ac:dyDescent="0.25">
      <c r="A2312" s="2" t="s">
        <v>1726</v>
      </c>
      <c r="B2312" s="2" t="s">
        <v>43</v>
      </c>
      <c r="C2312" s="3">
        <v>51207.72</v>
      </c>
      <c r="D2312" s="3">
        <v>40545.230000000003</v>
      </c>
      <c r="E2312" s="3">
        <v>40545.230000000003</v>
      </c>
      <c r="F2312" s="5">
        <v>0</v>
      </c>
    </row>
    <row r="2313" spans="1:6" x14ac:dyDescent="0.25">
      <c r="A2313" s="2" t="s">
        <v>1727</v>
      </c>
      <c r="B2313" s="2" t="s">
        <v>1728</v>
      </c>
      <c r="C2313" s="3">
        <v>17868.27</v>
      </c>
      <c r="D2313" s="3">
        <v>9193.59</v>
      </c>
      <c r="E2313" s="3">
        <v>9193.59</v>
      </c>
      <c r="F2313" s="5">
        <v>0</v>
      </c>
    </row>
    <row r="2314" spans="1:6" ht="15" customHeight="1" x14ac:dyDescent="0.25">
      <c r="A2314" s="2" t="s">
        <v>1729</v>
      </c>
      <c r="B2314" s="2" t="s">
        <v>1730</v>
      </c>
      <c r="C2314" s="3">
        <v>13287.79</v>
      </c>
      <c r="D2314" s="3">
        <v>11148.01</v>
      </c>
      <c r="E2314" s="3">
        <v>115000</v>
      </c>
      <c r="F2314" s="5">
        <v>0</v>
      </c>
    </row>
    <row r="2315" spans="1:6" x14ac:dyDescent="0.25">
      <c r="A2315" s="2" t="s">
        <v>1731</v>
      </c>
      <c r="B2315" s="2" t="s">
        <v>1732</v>
      </c>
      <c r="C2315" s="3">
        <v>0</v>
      </c>
      <c r="D2315" s="3">
        <v>0</v>
      </c>
      <c r="E2315" s="3">
        <v>0</v>
      </c>
      <c r="F2315" s="5">
        <v>0</v>
      </c>
    </row>
    <row r="2316" spans="1:6" ht="15" customHeight="1" x14ac:dyDescent="0.25">
      <c r="A2316" s="2" t="s">
        <v>1733</v>
      </c>
      <c r="B2316" s="2" t="s">
        <v>1734</v>
      </c>
      <c r="C2316" s="3">
        <v>0</v>
      </c>
      <c r="D2316" s="3">
        <v>0</v>
      </c>
      <c r="E2316" s="3">
        <v>0</v>
      </c>
      <c r="F2316" s="5">
        <v>0</v>
      </c>
    </row>
    <row r="2317" spans="1:6" x14ac:dyDescent="0.25">
      <c r="A2317" s="2" t="s">
        <v>1735</v>
      </c>
      <c r="B2317" s="2" t="s">
        <v>1736</v>
      </c>
      <c r="C2317" s="3">
        <v>5159.1499999999996</v>
      </c>
      <c r="D2317" s="3">
        <v>892.16</v>
      </c>
      <c r="E2317" s="3">
        <v>55000</v>
      </c>
      <c r="F2317" s="5">
        <v>0</v>
      </c>
    </row>
    <row r="2318" spans="1:6" x14ac:dyDescent="0.25">
      <c r="A2318" s="2" t="s">
        <v>1737</v>
      </c>
      <c r="B2318" s="2" t="s">
        <v>1738</v>
      </c>
      <c r="C2318" s="3">
        <v>0</v>
      </c>
      <c r="D2318" s="3">
        <v>0</v>
      </c>
      <c r="E2318" s="3">
        <v>0</v>
      </c>
      <c r="F2318" s="5">
        <v>0</v>
      </c>
    </row>
    <row r="2319" spans="1:6" ht="15" customHeight="1" x14ac:dyDescent="0.25">
      <c r="A2319" s="2" t="s">
        <v>1739</v>
      </c>
      <c r="B2319" s="2" t="s">
        <v>604</v>
      </c>
      <c r="C2319" s="3">
        <v>0</v>
      </c>
      <c r="D2319" s="3">
        <v>0</v>
      </c>
      <c r="E2319" s="3">
        <v>0</v>
      </c>
      <c r="F2319" s="5">
        <v>0</v>
      </c>
    </row>
    <row r="2320" spans="1:6" ht="15" customHeight="1" x14ac:dyDescent="0.25">
      <c r="A2320" s="2" t="s">
        <v>1740</v>
      </c>
      <c r="B2320" s="2" t="s">
        <v>1741</v>
      </c>
      <c r="C2320" s="3">
        <v>0</v>
      </c>
      <c r="D2320" s="3">
        <v>0</v>
      </c>
      <c r="E2320" s="3">
        <v>0</v>
      </c>
      <c r="F2320" s="5">
        <v>0</v>
      </c>
    </row>
    <row r="2321" spans="1:6" x14ac:dyDescent="0.25">
      <c r="A2321" s="2" t="s">
        <v>1742</v>
      </c>
      <c r="B2321" s="2" t="s">
        <v>1743</v>
      </c>
      <c r="C2321" s="3">
        <v>19976.41</v>
      </c>
      <c r="D2321" s="3">
        <v>938.94</v>
      </c>
      <c r="E2321" s="3">
        <v>30000</v>
      </c>
      <c r="F2321" s="5">
        <v>0</v>
      </c>
    </row>
    <row r="2322" spans="1:6" ht="24" x14ac:dyDescent="0.25">
      <c r="A2322" s="2" t="s">
        <v>1744</v>
      </c>
      <c r="B2322" s="2" t="s">
        <v>1745</v>
      </c>
      <c r="C2322" s="3">
        <v>-19976.41</v>
      </c>
      <c r="D2322" s="3">
        <v>0</v>
      </c>
      <c r="E2322" s="3">
        <v>-30000</v>
      </c>
      <c r="F2322" s="5">
        <v>0</v>
      </c>
    </row>
    <row r="2323" spans="1:6" x14ac:dyDescent="0.25">
      <c r="A2323" s="2" t="s">
        <v>1746</v>
      </c>
      <c r="B2323" s="2" t="s">
        <v>1747</v>
      </c>
      <c r="C2323" s="3">
        <v>80579.81</v>
      </c>
      <c r="D2323" s="3">
        <v>55028.54</v>
      </c>
      <c r="E2323" s="3">
        <v>180000</v>
      </c>
      <c r="F2323" s="5">
        <v>0</v>
      </c>
    </row>
    <row r="2324" spans="1:6" ht="15" customHeight="1" x14ac:dyDescent="0.25">
      <c r="A2324" s="2" t="s">
        <v>1748</v>
      </c>
      <c r="B2324" s="2" t="s">
        <v>99</v>
      </c>
      <c r="C2324" s="3">
        <v>4005.72</v>
      </c>
      <c r="D2324" s="3">
        <v>1346.54</v>
      </c>
      <c r="E2324" s="3">
        <v>3900</v>
      </c>
      <c r="F2324" s="5">
        <v>0</v>
      </c>
    </row>
    <row r="2325" spans="1:6" ht="15" customHeight="1" x14ac:dyDescent="0.25">
      <c r="A2325" s="2" t="s">
        <v>1749</v>
      </c>
      <c r="B2325" s="2" t="s">
        <v>59</v>
      </c>
      <c r="C2325" s="3">
        <v>28.99</v>
      </c>
      <c r="D2325" s="3">
        <v>169.44</v>
      </c>
      <c r="E2325" s="3">
        <v>500</v>
      </c>
      <c r="F2325" s="5">
        <v>0</v>
      </c>
    </row>
    <row r="2326" spans="1:6" ht="15" customHeight="1" x14ac:dyDescent="0.25">
      <c r="A2326" s="2" t="s">
        <v>1750</v>
      </c>
      <c r="B2326" s="2" t="s">
        <v>17</v>
      </c>
      <c r="C2326" s="3">
        <v>0</v>
      </c>
      <c r="D2326" s="3">
        <v>0</v>
      </c>
      <c r="E2326" s="3">
        <v>2000</v>
      </c>
      <c r="F2326" s="5">
        <v>0</v>
      </c>
    </row>
    <row r="2327" spans="1:6" ht="15" customHeight="1" x14ac:dyDescent="0.25">
      <c r="A2327" s="2" t="s">
        <v>1751</v>
      </c>
      <c r="B2327" s="2" t="s">
        <v>144</v>
      </c>
      <c r="C2327" s="3">
        <v>0</v>
      </c>
      <c r="D2327" s="3">
        <v>0</v>
      </c>
      <c r="E2327" s="3">
        <v>3000</v>
      </c>
      <c r="F2327" s="5">
        <v>0</v>
      </c>
    </row>
    <row r="2328" spans="1:6" ht="15" customHeight="1" x14ac:dyDescent="0.25">
      <c r="A2328" s="2" t="s">
        <v>1752</v>
      </c>
      <c r="B2328" s="2" t="s">
        <v>1753</v>
      </c>
      <c r="C2328" s="3">
        <v>17093.580000000002</v>
      </c>
      <c r="D2328" s="3">
        <v>13104.19</v>
      </c>
      <c r="E2328" s="3">
        <v>27000</v>
      </c>
      <c r="F2328" s="5">
        <v>0</v>
      </c>
    </row>
    <row r="2329" spans="1:6" ht="15" customHeight="1" x14ac:dyDescent="0.25">
      <c r="A2329" s="2" t="s">
        <v>1754</v>
      </c>
      <c r="B2329" s="2" t="s">
        <v>1755</v>
      </c>
      <c r="C2329" s="3">
        <v>6675</v>
      </c>
      <c r="D2329" s="3">
        <v>438.31</v>
      </c>
      <c r="E2329" s="3">
        <v>20000</v>
      </c>
      <c r="F2329" s="5">
        <v>0</v>
      </c>
    </row>
    <row r="2330" spans="1:6" ht="15" customHeight="1" x14ac:dyDescent="0.25">
      <c r="A2330" s="2" t="s">
        <v>1756</v>
      </c>
      <c r="B2330" s="2" t="s">
        <v>1757</v>
      </c>
      <c r="C2330" s="3">
        <v>0</v>
      </c>
      <c r="D2330" s="3">
        <v>0</v>
      </c>
      <c r="E2330" s="3">
        <v>250</v>
      </c>
      <c r="F2330" s="5">
        <v>0</v>
      </c>
    </row>
    <row r="2331" spans="1:6" ht="15" customHeight="1" x14ac:dyDescent="0.25">
      <c r="A2331" s="2" t="s">
        <v>1758</v>
      </c>
      <c r="B2331" s="2" t="s">
        <v>1759</v>
      </c>
      <c r="C2331" s="3">
        <v>1892.5</v>
      </c>
      <c r="D2331" s="3">
        <v>0</v>
      </c>
      <c r="E2331" s="3">
        <v>2500</v>
      </c>
      <c r="F2331" s="5">
        <v>0</v>
      </c>
    </row>
    <row r="2332" spans="1:6" ht="15" customHeight="1" x14ac:dyDescent="0.25">
      <c r="A2332" s="2" t="s">
        <v>1760</v>
      </c>
      <c r="B2332" s="2" t="s">
        <v>64</v>
      </c>
      <c r="C2332" s="3">
        <v>649.94000000000005</v>
      </c>
      <c r="D2332" s="3">
        <v>592.08000000000004</v>
      </c>
      <c r="E2332" s="3">
        <v>2000</v>
      </c>
      <c r="F2332" s="5">
        <v>0</v>
      </c>
    </row>
    <row r="2333" spans="1:6" ht="15" customHeight="1" x14ac:dyDescent="0.25">
      <c r="A2333" s="2" t="s">
        <v>1761</v>
      </c>
      <c r="B2333" s="2" t="s">
        <v>1762</v>
      </c>
      <c r="C2333" s="3">
        <v>5435.57</v>
      </c>
      <c r="D2333" s="3">
        <v>2746.94</v>
      </c>
      <c r="E2333" s="3">
        <v>5700</v>
      </c>
      <c r="F2333" s="5">
        <v>0</v>
      </c>
    </row>
    <row r="2334" spans="1:6" ht="15" customHeight="1" x14ac:dyDescent="0.25">
      <c r="A2334" s="2" t="s">
        <v>1763</v>
      </c>
      <c r="B2334" s="2" t="s">
        <v>1303</v>
      </c>
      <c r="C2334" s="3">
        <v>25764.9</v>
      </c>
      <c r="D2334" s="3">
        <v>9635.68</v>
      </c>
      <c r="E2334" s="3">
        <v>20615</v>
      </c>
      <c r="F2334" s="5">
        <v>0</v>
      </c>
    </row>
    <row r="2335" spans="1:6" ht="15" customHeight="1" x14ac:dyDescent="0.25">
      <c r="A2335" s="2" t="s">
        <v>1764</v>
      </c>
      <c r="B2335" s="2" t="s">
        <v>1765</v>
      </c>
      <c r="C2335" s="3">
        <v>148258</v>
      </c>
      <c r="D2335" s="3">
        <v>62872.89</v>
      </c>
      <c r="E2335" s="3">
        <v>116733</v>
      </c>
      <c r="F2335" s="5">
        <v>0</v>
      </c>
    </row>
    <row r="2336" spans="1:6" ht="15" customHeight="1" x14ac:dyDescent="0.25">
      <c r="A2336" s="1" t="s">
        <v>1766</v>
      </c>
      <c r="B2336" s="1" t="s">
        <v>2</v>
      </c>
      <c r="C2336" s="4">
        <v>1029724.43</v>
      </c>
      <c r="D2336" s="4">
        <v>496215.67</v>
      </c>
      <c r="E2336" s="6">
        <f>SUM(E2292:E2335)</f>
        <v>1242187.08</v>
      </c>
      <c r="F2336" s="6">
        <f>SUM(F2292:F2335)</f>
        <v>0</v>
      </c>
    </row>
    <row r="2337" spans="1:6" x14ac:dyDescent="0.25">
      <c r="A2337" s="1" t="s">
        <v>2</v>
      </c>
      <c r="B2337" s="1" t="s">
        <v>2</v>
      </c>
      <c r="C2337" s="1" t="s">
        <v>2</v>
      </c>
      <c r="D2337" s="1" t="s">
        <v>2</v>
      </c>
      <c r="E2337" s="1" t="s">
        <v>2</v>
      </c>
      <c r="F2337" s="1" t="s">
        <v>2</v>
      </c>
    </row>
    <row r="2338" spans="1:6" ht="15" customHeight="1" x14ac:dyDescent="0.25">
      <c r="A2338" s="2" t="s">
        <v>1767</v>
      </c>
      <c r="B2338" s="2" t="s">
        <v>1393</v>
      </c>
      <c r="C2338" s="3">
        <v>0</v>
      </c>
      <c r="D2338" s="3">
        <v>0</v>
      </c>
      <c r="E2338" s="3">
        <v>30000</v>
      </c>
      <c r="F2338" s="5">
        <v>0</v>
      </c>
    </row>
    <row r="2339" spans="1:6" ht="15" customHeight="1" x14ac:dyDescent="0.25">
      <c r="A2339" s="2"/>
      <c r="B2339" s="2"/>
      <c r="C2339" s="3"/>
      <c r="D2339" s="3"/>
      <c r="E2339" s="3"/>
      <c r="F2339" s="5"/>
    </row>
    <row r="2340" spans="1:6" ht="15" customHeight="1" x14ac:dyDescent="0.25">
      <c r="A2340" s="1" t="s">
        <v>557</v>
      </c>
      <c r="B2340" s="1" t="s">
        <v>2</v>
      </c>
    </row>
    <row r="2341" spans="1:6" ht="15" customHeight="1" x14ac:dyDescent="0.25">
      <c r="A2341" s="2" t="s">
        <v>1768</v>
      </c>
      <c r="B2341" s="2" t="s">
        <v>1769</v>
      </c>
      <c r="C2341" s="3">
        <v>0</v>
      </c>
      <c r="D2341" s="3">
        <v>0</v>
      </c>
      <c r="E2341" s="3">
        <v>0</v>
      </c>
      <c r="F2341" s="5">
        <v>0</v>
      </c>
    </row>
    <row r="2342" spans="1:6" ht="15" customHeight="1" x14ac:dyDescent="0.25">
      <c r="A2342" s="2" t="s">
        <v>1770</v>
      </c>
      <c r="B2342" s="2" t="s">
        <v>1771</v>
      </c>
      <c r="C2342" s="3">
        <v>0</v>
      </c>
      <c r="D2342" s="3">
        <v>0</v>
      </c>
      <c r="E2342" s="3">
        <v>0</v>
      </c>
      <c r="F2342" s="5">
        <v>0</v>
      </c>
    </row>
    <row r="2343" spans="1:6" ht="15" customHeight="1" x14ac:dyDescent="0.25">
      <c r="A2343" s="2" t="s">
        <v>1772</v>
      </c>
      <c r="B2343" s="2" t="s">
        <v>1426</v>
      </c>
      <c r="C2343" s="3">
        <v>0</v>
      </c>
      <c r="D2343" s="3">
        <v>0</v>
      </c>
      <c r="E2343" s="3">
        <v>0</v>
      </c>
      <c r="F2343" s="5">
        <v>0</v>
      </c>
    </row>
    <row r="2344" spans="1:6" ht="15" customHeight="1" x14ac:dyDescent="0.25">
      <c r="A2344" s="2" t="s">
        <v>1773</v>
      </c>
      <c r="B2344" s="2" t="s">
        <v>1774</v>
      </c>
      <c r="C2344" s="3">
        <v>0</v>
      </c>
      <c r="D2344" s="3">
        <v>16112.75</v>
      </c>
      <c r="E2344" s="3">
        <v>3250000</v>
      </c>
      <c r="F2344" s="5">
        <v>0</v>
      </c>
    </row>
    <row r="2345" spans="1:6" ht="15" customHeight="1" x14ac:dyDescent="0.25">
      <c r="A2345" s="2" t="s">
        <v>1775</v>
      </c>
      <c r="B2345" s="2" t="s">
        <v>1776</v>
      </c>
      <c r="C2345" s="3">
        <v>0</v>
      </c>
      <c r="D2345" s="3">
        <v>0</v>
      </c>
      <c r="E2345" s="3">
        <v>0</v>
      </c>
      <c r="F2345" s="5">
        <v>0</v>
      </c>
    </row>
    <row r="2346" spans="1:6" ht="15" customHeight="1" x14ac:dyDescent="0.25">
      <c r="A2346" s="2" t="s">
        <v>1777</v>
      </c>
      <c r="B2346" s="2" t="s">
        <v>1778</v>
      </c>
      <c r="C2346" s="3">
        <v>0</v>
      </c>
      <c r="D2346" s="3">
        <v>0</v>
      </c>
      <c r="E2346" s="3">
        <v>180000</v>
      </c>
      <c r="F2346" s="5">
        <v>0</v>
      </c>
    </row>
    <row r="2347" spans="1:6" ht="15" customHeight="1" x14ac:dyDescent="0.25">
      <c r="A2347" s="2" t="s">
        <v>1779</v>
      </c>
      <c r="B2347" s="2" t="s">
        <v>1432</v>
      </c>
      <c r="C2347" s="3">
        <v>0</v>
      </c>
      <c r="D2347" s="3">
        <v>0</v>
      </c>
      <c r="E2347" s="3">
        <v>510000</v>
      </c>
      <c r="F2347" s="5">
        <v>0</v>
      </c>
    </row>
    <row r="2348" spans="1:6" x14ac:dyDescent="0.25">
      <c r="A2348" s="2" t="s">
        <v>1780</v>
      </c>
      <c r="B2348" s="2" t="s">
        <v>1781</v>
      </c>
      <c r="C2348" s="3">
        <v>0</v>
      </c>
      <c r="D2348" s="3">
        <v>0</v>
      </c>
      <c r="E2348" s="3">
        <v>0</v>
      </c>
      <c r="F2348" s="5">
        <v>0</v>
      </c>
    </row>
    <row r="2349" spans="1:6" x14ac:dyDescent="0.25">
      <c r="A2349" s="2" t="s">
        <v>1782</v>
      </c>
      <c r="B2349" s="2" t="s">
        <v>1783</v>
      </c>
      <c r="C2349" s="3">
        <v>0</v>
      </c>
      <c r="D2349" s="3">
        <v>0</v>
      </c>
      <c r="E2349" s="3">
        <v>0</v>
      </c>
      <c r="F2349" s="5">
        <v>0</v>
      </c>
    </row>
    <row r="2350" spans="1:6" x14ac:dyDescent="0.25">
      <c r="A2350" s="2" t="s">
        <v>1784</v>
      </c>
      <c r="B2350" s="2" t="s">
        <v>1785</v>
      </c>
      <c r="C2350" s="3">
        <v>0</v>
      </c>
      <c r="D2350" s="3">
        <v>0</v>
      </c>
      <c r="E2350" s="3">
        <v>0</v>
      </c>
      <c r="F2350" s="5">
        <v>0</v>
      </c>
    </row>
    <row r="2351" spans="1:6" x14ac:dyDescent="0.25">
      <c r="A2351" s="2" t="s">
        <v>1786</v>
      </c>
      <c r="B2351" s="2" t="s">
        <v>1787</v>
      </c>
      <c r="C2351" s="3">
        <v>0</v>
      </c>
      <c r="D2351" s="3">
        <v>0</v>
      </c>
      <c r="E2351" s="3">
        <v>0</v>
      </c>
      <c r="F2351" s="5">
        <v>0</v>
      </c>
    </row>
    <row r="2352" spans="1:6" ht="15" customHeight="1" x14ac:dyDescent="0.25">
      <c r="A2352" s="2" t="s">
        <v>1788</v>
      </c>
      <c r="B2352" s="2" t="s">
        <v>1789</v>
      </c>
      <c r="C2352" s="3">
        <v>0</v>
      </c>
      <c r="D2352" s="3">
        <v>0</v>
      </c>
      <c r="E2352" s="3">
        <v>0</v>
      </c>
      <c r="F2352" s="5">
        <v>0</v>
      </c>
    </row>
    <row r="2353" spans="1:6" ht="15" customHeight="1" x14ac:dyDescent="0.25">
      <c r="A2353" s="2" t="s">
        <v>1790</v>
      </c>
      <c r="B2353" s="2" t="s">
        <v>1791</v>
      </c>
      <c r="C2353" s="3">
        <v>0</v>
      </c>
      <c r="D2353" s="3">
        <v>0</v>
      </c>
      <c r="E2353" s="3">
        <v>1250000</v>
      </c>
      <c r="F2353" s="5">
        <v>0</v>
      </c>
    </row>
    <row r="2354" spans="1:6" ht="15" customHeight="1" x14ac:dyDescent="0.25">
      <c r="A2354" s="1" t="s">
        <v>560</v>
      </c>
      <c r="B2354" s="1" t="s">
        <v>2</v>
      </c>
      <c r="C2354" s="4">
        <v>0</v>
      </c>
      <c r="D2354" s="4">
        <v>16112.75</v>
      </c>
      <c r="E2354" s="6">
        <f>SUM(E2341:E2353)</f>
        <v>5190000</v>
      </c>
      <c r="F2354" s="6">
        <f>SUM(F2341:F2353)</f>
        <v>0</v>
      </c>
    </row>
    <row r="2355" spans="1:6" x14ac:dyDescent="0.25">
      <c r="A2355" s="1" t="s">
        <v>2</v>
      </c>
      <c r="B2355" s="1" t="s">
        <v>2</v>
      </c>
      <c r="C2355" s="1" t="s">
        <v>2</v>
      </c>
      <c r="D2355" s="1" t="s">
        <v>2</v>
      </c>
      <c r="E2355" s="1" t="s">
        <v>2</v>
      </c>
      <c r="F2355" s="1" t="s">
        <v>2</v>
      </c>
    </row>
    <row r="2356" spans="1:6" ht="15" customHeight="1" x14ac:dyDescent="0.25">
      <c r="A2356" s="2" t="s">
        <v>1792</v>
      </c>
      <c r="B2356" s="2" t="s">
        <v>1793</v>
      </c>
      <c r="C2356" s="3">
        <v>101517.96</v>
      </c>
      <c r="D2356" s="3">
        <v>1122.33</v>
      </c>
      <c r="E2356" s="3">
        <v>0</v>
      </c>
      <c r="F2356" s="5">
        <v>0</v>
      </c>
    </row>
    <row r="2357" spans="1:6" ht="15" customHeight="1" x14ac:dyDescent="0.25">
      <c r="A2357" s="2" t="s">
        <v>1794</v>
      </c>
      <c r="B2357" s="2" t="s">
        <v>1795</v>
      </c>
      <c r="C2357" s="3">
        <v>0</v>
      </c>
      <c r="D2357" s="3">
        <v>0</v>
      </c>
      <c r="E2357" s="3">
        <v>0</v>
      </c>
      <c r="F2357" s="5">
        <v>0</v>
      </c>
    </row>
    <row r="2358" spans="1:6" x14ac:dyDescent="0.25">
      <c r="A2358" s="2" t="s">
        <v>1796</v>
      </c>
      <c r="B2358" s="2" t="s">
        <v>1797</v>
      </c>
      <c r="C2358" s="3">
        <v>0</v>
      </c>
      <c r="D2358" s="3">
        <v>0</v>
      </c>
      <c r="E2358" s="3">
        <v>0</v>
      </c>
      <c r="F2358" s="5">
        <v>0</v>
      </c>
    </row>
    <row r="2359" spans="1:6" x14ac:dyDescent="0.25">
      <c r="A2359" s="2" t="s">
        <v>1798</v>
      </c>
      <c r="B2359" s="2" t="s">
        <v>1799</v>
      </c>
      <c r="C2359" s="3">
        <v>0</v>
      </c>
      <c r="D2359" s="3">
        <v>0</v>
      </c>
      <c r="E2359" s="3">
        <v>0</v>
      </c>
      <c r="F2359" s="5">
        <v>0</v>
      </c>
    </row>
    <row r="2360" spans="1:6" ht="15" customHeight="1" x14ac:dyDescent="0.25">
      <c r="A2360" s="2" t="s">
        <v>1800</v>
      </c>
      <c r="B2360" s="2" t="s">
        <v>1769</v>
      </c>
      <c r="C2360" s="3">
        <v>13020.76</v>
      </c>
      <c r="D2360" s="3">
        <v>1157.1199999999999</v>
      </c>
      <c r="E2360" s="3">
        <v>0</v>
      </c>
      <c r="F2360" s="5">
        <v>0</v>
      </c>
    </row>
    <row r="2361" spans="1:6" ht="15" customHeight="1" x14ac:dyDescent="0.25">
      <c r="A2361" s="2" t="s">
        <v>1801</v>
      </c>
      <c r="B2361" s="2" t="s">
        <v>1802</v>
      </c>
      <c r="C2361" s="3">
        <v>7167.36</v>
      </c>
      <c r="D2361" s="3">
        <v>8802.83</v>
      </c>
      <c r="E2361" s="3">
        <v>4000</v>
      </c>
      <c r="F2361" s="5">
        <v>0</v>
      </c>
    </row>
    <row r="2362" spans="1:6" ht="15" customHeight="1" x14ac:dyDescent="0.25">
      <c r="A2362" s="2" t="s">
        <v>1803</v>
      </c>
      <c r="B2362" s="2" t="s">
        <v>1434</v>
      </c>
      <c r="C2362" s="3">
        <v>5147.79</v>
      </c>
      <c r="D2362" s="3">
        <v>7445.22</v>
      </c>
      <c r="E2362" s="3">
        <v>0</v>
      </c>
      <c r="F2362" s="5">
        <v>0</v>
      </c>
    </row>
    <row r="2363" spans="1:6" ht="15" customHeight="1" x14ac:dyDescent="0.25">
      <c r="A2363" s="2" t="s">
        <v>1804</v>
      </c>
      <c r="B2363" s="2" t="s">
        <v>866</v>
      </c>
      <c r="C2363" s="3">
        <v>89849.15</v>
      </c>
      <c r="D2363" s="3">
        <v>104889.89</v>
      </c>
      <c r="E2363" s="3">
        <v>120000</v>
      </c>
      <c r="F2363" s="5">
        <v>0</v>
      </c>
    </row>
    <row r="2364" spans="1:6" x14ac:dyDescent="0.25">
      <c r="A2364" s="2" t="s">
        <v>2</v>
      </c>
      <c r="B2364" s="2" t="s">
        <v>2</v>
      </c>
      <c r="C2364" s="2" t="s">
        <v>2</v>
      </c>
      <c r="D2364" s="2" t="s">
        <v>2</v>
      </c>
      <c r="E2364" s="2" t="s">
        <v>2</v>
      </c>
      <c r="F2364" s="2" t="s">
        <v>2</v>
      </c>
    </row>
    <row r="2365" spans="1:6" ht="15" customHeight="1" x14ac:dyDescent="0.25">
      <c r="A2365" s="1" t="s">
        <v>706</v>
      </c>
      <c r="B2365" s="1" t="s">
        <v>2</v>
      </c>
    </row>
    <row r="2366" spans="1:6" x14ac:dyDescent="0.25">
      <c r="A2366" s="2" t="s">
        <v>1805</v>
      </c>
      <c r="B2366" s="2" t="s">
        <v>1806</v>
      </c>
      <c r="C2366" s="3">
        <v>39979</v>
      </c>
      <c r="D2366" s="3">
        <v>0</v>
      </c>
      <c r="E2366" s="3">
        <v>39113</v>
      </c>
      <c r="F2366" s="5">
        <v>0</v>
      </c>
    </row>
    <row r="2367" spans="1:6" ht="15" customHeight="1" x14ac:dyDescent="0.25">
      <c r="A2367" s="2" t="s">
        <v>1807</v>
      </c>
      <c r="B2367" s="2" t="s">
        <v>1808</v>
      </c>
      <c r="C2367" s="3">
        <v>0</v>
      </c>
      <c r="D2367" s="3">
        <v>0</v>
      </c>
      <c r="E2367" s="3">
        <v>10000</v>
      </c>
      <c r="F2367" s="5">
        <v>0</v>
      </c>
    </row>
    <row r="2368" spans="1:6" ht="15" customHeight="1" x14ac:dyDescent="0.25">
      <c r="A2368" s="2" t="s">
        <v>1809</v>
      </c>
      <c r="B2368" s="2" t="s">
        <v>1810</v>
      </c>
      <c r="C2368" s="3">
        <v>0</v>
      </c>
      <c r="D2368" s="3">
        <v>0</v>
      </c>
      <c r="E2368" s="3">
        <v>40000</v>
      </c>
      <c r="F2368" s="5">
        <v>0</v>
      </c>
    </row>
    <row r="2369" spans="1:6" ht="15" customHeight="1" x14ac:dyDescent="0.25">
      <c r="A2369" s="2" t="s">
        <v>1811</v>
      </c>
      <c r="B2369" s="2" t="s">
        <v>1031</v>
      </c>
      <c r="C2369" s="3">
        <v>0</v>
      </c>
      <c r="D2369" s="3">
        <v>0</v>
      </c>
      <c r="E2369" s="3">
        <v>5000</v>
      </c>
      <c r="F2369" s="5">
        <v>0</v>
      </c>
    </row>
    <row r="2370" spans="1:6" ht="15" customHeight="1" x14ac:dyDescent="0.25">
      <c r="A2370" s="2" t="s">
        <v>1812</v>
      </c>
      <c r="B2370" s="2" t="s">
        <v>1033</v>
      </c>
      <c r="C2370" s="3">
        <v>0</v>
      </c>
      <c r="D2370" s="3">
        <v>0</v>
      </c>
      <c r="E2370" s="3">
        <v>47500</v>
      </c>
      <c r="F2370" s="5">
        <v>0</v>
      </c>
    </row>
    <row r="2371" spans="1:6" x14ac:dyDescent="0.25">
      <c r="A2371" s="2" t="s">
        <v>1813</v>
      </c>
      <c r="B2371" s="2" t="s">
        <v>1035</v>
      </c>
      <c r="C2371" s="3">
        <v>0</v>
      </c>
      <c r="D2371" s="3">
        <v>0</v>
      </c>
      <c r="E2371" s="3">
        <v>17500</v>
      </c>
      <c r="F2371" s="5">
        <v>0</v>
      </c>
    </row>
    <row r="2372" spans="1:6" ht="15" customHeight="1" x14ac:dyDescent="0.25">
      <c r="A2372" s="2" t="s">
        <v>1814</v>
      </c>
      <c r="B2372" s="2" t="s">
        <v>1037</v>
      </c>
      <c r="C2372" s="3">
        <v>0</v>
      </c>
      <c r="D2372" s="3">
        <v>0</v>
      </c>
      <c r="E2372" s="3">
        <v>1750</v>
      </c>
      <c r="F2372" s="5">
        <v>0</v>
      </c>
    </row>
    <row r="2373" spans="1:6" x14ac:dyDescent="0.25">
      <c r="A2373" s="2" t="s">
        <v>1815</v>
      </c>
      <c r="B2373" s="2" t="s">
        <v>1009</v>
      </c>
      <c r="C2373" s="3">
        <v>23850.639999999999</v>
      </c>
      <c r="D2373" s="3">
        <v>0</v>
      </c>
      <c r="E2373" s="3">
        <v>0</v>
      </c>
      <c r="F2373" s="5">
        <v>0</v>
      </c>
    </row>
    <row r="2374" spans="1:6" ht="15" customHeight="1" x14ac:dyDescent="0.25">
      <c r="A2374" s="2" t="s">
        <v>1816</v>
      </c>
      <c r="B2374" s="2" t="s">
        <v>1015</v>
      </c>
      <c r="C2374" s="3">
        <v>8581.11</v>
      </c>
      <c r="D2374" s="3">
        <v>0</v>
      </c>
      <c r="E2374" s="3">
        <v>0</v>
      </c>
      <c r="F2374" s="5">
        <v>0</v>
      </c>
    </row>
    <row r="2375" spans="1:6" ht="15" customHeight="1" x14ac:dyDescent="0.25">
      <c r="A2375" s="2" t="s">
        <v>1817</v>
      </c>
      <c r="B2375" s="2" t="s">
        <v>1636</v>
      </c>
      <c r="C2375" s="3">
        <v>58284.73</v>
      </c>
      <c r="D2375" s="3">
        <v>0</v>
      </c>
      <c r="E2375" s="3">
        <v>0</v>
      </c>
      <c r="F2375" s="5">
        <v>0</v>
      </c>
    </row>
    <row r="2376" spans="1:6" ht="15" customHeight="1" x14ac:dyDescent="0.25">
      <c r="A2376" s="2" t="s">
        <v>1818</v>
      </c>
      <c r="B2376" s="2" t="s">
        <v>1019</v>
      </c>
      <c r="C2376" s="3">
        <v>39114.050000000003</v>
      </c>
      <c r="D2376" s="3">
        <v>0</v>
      </c>
      <c r="E2376" s="3">
        <v>0</v>
      </c>
      <c r="F2376" s="5">
        <v>0</v>
      </c>
    </row>
    <row r="2377" spans="1:6" ht="15" customHeight="1" x14ac:dyDescent="0.25">
      <c r="A2377" s="2" t="s">
        <v>1819</v>
      </c>
      <c r="B2377" s="2" t="s">
        <v>1021</v>
      </c>
      <c r="C2377" s="3">
        <v>37161.25</v>
      </c>
      <c r="D2377" s="3">
        <v>0</v>
      </c>
      <c r="E2377" s="3">
        <v>0</v>
      </c>
      <c r="F2377" s="5">
        <v>0</v>
      </c>
    </row>
    <row r="2378" spans="1:6" ht="15" customHeight="1" x14ac:dyDescent="0.25">
      <c r="A2378" s="2" t="s">
        <v>1820</v>
      </c>
      <c r="B2378" s="2" t="s">
        <v>1821</v>
      </c>
      <c r="C2378" s="3">
        <v>24963.16</v>
      </c>
      <c r="D2378" s="3">
        <v>0</v>
      </c>
      <c r="E2378" s="3">
        <v>0</v>
      </c>
      <c r="F2378" s="5">
        <v>0</v>
      </c>
    </row>
    <row r="2379" spans="1:6" ht="15" customHeight="1" x14ac:dyDescent="0.25">
      <c r="A2379" s="2" t="s">
        <v>1822</v>
      </c>
      <c r="B2379" s="2" t="s">
        <v>1823</v>
      </c>
      <c r="C2379" s="3">
        <v>31645.87</v>
      </c>
      <c r="D2379" s="3">
        <v>0</v>
      </c>
      <c r="E2379" s="3">
        <v>31570</v>
      </c>
      <c r="F2379" s="5">
        <v>0</v>
      </c>
    </row>
    <row r="2380" spans="1:6" ht="15" customHeight="1" x14ac:dyDescent="0.25">
      <c r="A2380" s="2" t="s">
        <v>1824</v>
      </c>
      <c r="B2380" s="2" t="s">
        <v>1459</v>
      </c>
      <c r="C2380" s="3">
        <v>10431.99</v>
      </c>
      <c r="D2380" s="3">
        <v>0</v>
      </c>
      <c r="E2380" s="3">
        <v>8116</v>
      </c>
      <c r="F2380" s="5">
        <v>0</v>
      </c>
    </row>
    <row r="2381" spans="1:6" ht="15" customHeight="1" x14ac:dyDescent="0.25">
      <c r="A2381" s="1" t="s">
        <v>737</v>
      </c>
      <c r="B2381" s="1" t="s">
        <v>2</v>
      </c>
      <c r="C2381" s="4">
        <v>274011.8</v>
      </c>
      <c r="D2381" s="4">
        <v>0</v>
      </c>
      <c r="E2381" s="6">
        <f>SUM(E2366:E2380)</f>
        <v>200549</v>
      </c>
      <c r="F2381" s="6">
        <f>SUM(F2366:F2380)</f>
        <v>0</v>
      </c>
    </row>
    <row r="2382" spans="1:6" x14ac:dyDescent="0.25">
      <c r="A2382" s="1" t="s">
        <v>2</v>
      </c>
      <c r="B2382" s="1" t="s">
        <v>2</v>
      </c>
      <c r="C2382" s="1" t="s">
        <v>2</v>
      </c>
      <c r="D2382" s="1" t="s">
        <v>2</v>
      </c>
      <c r="E2382" s="1" t="s">
        <v>2</v>
      </c>
      <c r="F2382" s="1" t="s">
        <v>2</v>
      </c>
    </row>
    <row r="2383" spans="1:6" ht="15" customHeight="1" x14ac:dyDescent="0.25">
      <c r="A2383" s="1" t="s">
        <v>698</v>
      </c>
      <c r="B2383" s="1" t="s">
        <v>2</v>
      </c>
    </row>
    <row r="2384" spans="1:6" ht="15" customHeight="1" x14ac:dyDescent="0.25">
      <c r="A2384" s="2" t="s">
        <v>1825</v>
      </c>
      <c r="B2384" s="2" t="s">
        <v>700</v>
      </c>
      <c r="C2384" s="3">
        <v>0</v>
      </c>
      <c r="D2384" s="3">
        <v>0</v>
      </c>
      <c r="E2384" s="3">
        <v>0</v>
      </c>
      <c r="F2384" s="5">
        <v>0</v>
      </c>
    </row>
    <row r="2385" spans="1:7" ht="15" customHeight="1" x14ac:dyDescent="0.25">
      <c r="A2385" s="2" t="s">
        <v>1826</v>
      </c>
      <c r="B2385" s="2" t="s">
        <v>704</v>
      </c>
      <c r="C2385" s="3">
        <v>1454.36</v>
      </c>
      <c r="D2385" s="3">
        <v>0</v>
      </c>
      <c r="E2385" s="3">
        <v>0</v>
      </c>
      <c r="F2385" s="5">
        <v>0</v>
      </c>
    </row>
    <row r="2386" spans="1:7" ht="15" customHeight="1" x14ac:dyDescent="0.25">
      <c r="A2386" s="1" t="s">
        <v>705</v>
      </c>
      <c r="B2386" s="1" t="s">
        <v>2</v>
      </c>
      <c r="C2386" s="4">
        <v>1454.36</v>
      </c>
      <c r="D2386" s="4">
        <v>0</v>
      </c>
      <c r="E2386" s="6">
        <f>SUM(E2384:E2385)</f>
        <v>0</v>
      </c>
      <c r="F2386" s="6">
        <f>SUM(F2384:F2385)</f>
        <v>0</v>
      </c>
    </row>
    <row r="2387" spans="1:7" x14ac:dyDescent="0.25">
      <c r="A2387" s="1" t="s">
        <v>2</v>
      </c>
      <c r="B2387" s="1" t="s">
        <v>2</v>
      </c>
      <c r="C2387" s="1" t="s">
        <v>2</v>
      </c>
      <c r="D2387" s="1" t="s">
        <v>2</v>
      </c>
      <c r="E2387" s="1" t="s">
        <v>2</v>
      </c>
      <c r="F2387" s="1" t="s">
        <v>2</v>
      </c>
    </row>
    <row r="2388" spans="1:7" ht="15" customHeight="1" x14ac:dyDescent="0.25">
      <c r="A2388" s="1" t="s">
        <v>1827</v>
      </c>
      <c r="B2388" s="1" t="s">
        <v>2</v>
      </c>
      <c r="C2388" s="4">
        <v>1521893.61</v>
      </c>
      <c r="D2388" s="4">
        <v>635745.81000000006</v>
      </c>
      <c r="E2388" s="6">
        <f>E2386+E2381+SUM(E2356:E2363)+E2354+E2338+E2336</f>
        <v>6786736.0800000001</v>
      </c>
      <c r="F2388" s="6">
        <f>F2386+F2381+SUM(F2356:F2363)+F2354+F2338+F2336</f>
        <v>0</v>
      </c>
    </row>
    <row r="2389" spans="1:7" ht="15" customHeight="1" x14ac:dyDescent="0.25">
      <c r="A2389" s="25" t="s">
        <v>3088</v>
      </c>
      <c r="B2389" s="25"/>
      <c r="C2389" s="33">
        <f>C2211+C2288-C2388</f>
        <v>1971194.3800000001</v>
      </c>
      <c r="D2389" s="33">
        <f t="shared" ref="D2389:F2389" si="31">D2211+D2288-D2388</f>
        <v>2269936.1599999997</v>
      </c>
      <c r="E2389" s="33">
        <f t="shared" si="31"/>
        <v>1898686.2999999989</v>
      </c>
      <c r="F2389" s="33">
        <f t="shared" si="31"/>
        <v>1898686.2999999989</v>
      </c>
      <c r="G2389" s="25"/>
    </row>
    <row r="2390" spans="1:7" x14ac:dyDescent="0.25">
      <c r="A2390" s="1" t="s">
        <v>2</v>
      </c>
      <c r="B2390" s="1" t="s">
        <v>2</v>
      </c>
      <c r="C2390" s="1" t="s">
        <v>2</v>
      </c>
      <c r="D2390" s="1" t="s">
        <v>2</v>
      </c>
      <c r="E2390" s="1" t="s">
        <v>2</v>
      </c>
      <c r="F2390" s="1" t="s">
        <v>2</v>
      </c>
    </row>
    <row r="2391" spans="1:7" ht="15" customHeight="1" x14ac:dyDescent="0.25">
      <c r="A2391" s="27" t="s">
        <v>3089</v>
      </c>
      <c r="B2391" s="27"/>
      <c r="C2391" s="28">
        <v>22257.37</v>
      </c>
      <c r="D2391" s="28">
        <v>22257.38</v>
      </c>
      <c r="E2391" s="28">
        <v>22257.38</v>
      </c>
      <c r="F2391" s="28">
        <f>E2430</f>
        <v>22259.380000000005</v>
      </c>
      <c r="G2391" s="27"/>
    </row>
    <row r="2392" spans="1:7" x14ac:dyDescent="0.25">
      <c r="A2392" s="23" t="s">
        <v>1828</v>
      </c>
      <c r="B2392" s="23" t="s">
        <v>2</v>
      </c>
      <c r="C2392" s="29"/>
      <c r="D2392" s="29"/>
      <c r="E2392" s="29"/>
      <c r="F2392" s="29"/>
      <c r="G2392" s="29"/>
    </row>
    <row r="2393" spans="1:7" x14ac:dyDescent="0.25">
      <c r="A2393" s="23" t="s">
        <v>2026</v>
      </c>
      <c r="B2393" s="23" t="s">
        <v>2</v>
      </c>
      <c r="C2393" s="29"/>
      <c r="D2393" s="29"/>
      <c r="E2393" s="29"/>
      <c r="F2393" s="29"/>
      <c r="G2393" s="29"/>
    </row>
    <row r="2394" spans="1:7" x14ac:dyDescent="0.25">
      <c r="A2394" s="23" t="s">
        <v>2175</v>
      </c>
      <c r="B2394" s="23" t="s">
        <v>2</v>
      </c>
      <c r="C2394" s="29"/>
      <c r="D2394" s="29"/>
      <c r="E2394" s="29"/>
      <c r="F2394" s="29"/>
      <c r="G2394" s="29"/>
    </row>
    <row r="2395" spans="1:7" x14ac:dyDescent="0.25">
      <c r="A2395" s="23" t="s">
        <v>2176</v>
      </c>
      <c r="B2395" s="23" t="s">
        <v>2</v>
      </c>
      <c r="C2395" s="29"/>
      <c r="D2395" s="29"/>
      <c r="E2395" s="29"/>
      <c r="F2395" s="29"/>
      <c r="G2395" s="29"/>
    </row>
    <row r="2396" spans="1:7" x14ac:dyDescent="0.25">
      <c r="A2396" s="30" t="s">
        <v>3090</v>
      </c>
      <c r="B2396" s="30" t="s">
        <v>2409</v>
      </c>
      <c r="C2396" s="31">
        <v>0</v>
      </c>
      <c r="D2396" s="31">
        <v>0</v>
      </c>
      <c r="E2396" s="31">
        <v>0</v>
      </c>
      <c r="F2396" s="31">
        <v>0</v>
      </c>
      <c r="G2396" s="29"/>
    </row>
    <row r="2397" spans="1:7" x14ac:dyDescent="0.25">
      <c r="A2397" s="30" t="s">
        <v>3091</v>
      </c>
      <c r="B2397" s="30" t="s">
        <v>2703</v>
      </c>
      <c r="C2397" s="31">
        <v>0</v>
      </c>
      <c r="D2397" s="31">
        <v>0</v>
      </c>
      <c r="E2397" s="31">
        <v>0</v>
      </c>
      <c r="F2397" s="31">
        <v>0</v>
      </c>
      <c r="G2397" s="29"/>
    </row>
    <row r="2398" spans="1:7" x14ac:dyDescent="0.25">
      <c r="A2398" s="23" t="s">
        <v>2179</v>
      </c>
      <c r="B2398" s="23" t="s">
        <v>2</v>
      </c>
      <c r="C2398" s="32">
        <v>0</v>
      </c>
      <c r="D2398" s="32">
        <v>0</v>
      </c>
      <c r="E2398" s="32">
        <f>SUM(E2396:E2397)</f>
        <v>0</v>
      </c>
      <c r="F2398" s="32">
        <f>SUM(F2396:F2397)</f>
        <v>0</v>
      </c>
      <c r="G2398" s="29"/>
    </row>
    <row r="2399" spans="1:7" x14ac:dyDescent="0.25">
      <c r="A2399" s="23" t="s">
        <v>2</v>
      </c>
      <c r="B2399" s="23" t="s">
        <v>2</v>
      </c>
      <c r="C2399" s="23" t="s">
        <v>2</v>
      </c>
      <c r="D2399" s="23" t="s">
        <v>2</v>
      </c>
      <c r="E2399" s="23" t="s">
        <v>2</v>
      </c>
      <c r="F2399" s="23" t="s">
        <v>2</v>
      </c>
      <c r="G2399" s="29"/>
    </row>
    <row r="2400" spans="1:7" x14ac:dyDescent="0.25">
      <c r="A2400" s="23" t="s">
        <v>2180</v>
      </c>
      <c r="B2400" s="23" t="s">
        <v>2</v>
      </c>
      <c r="C2400" s="32">
        <v>0</v>
      </c>
      <c r="D2400" s="32">
        <v>0</v>
      </c>
      <c r="E2400" s="32">
        <f>E2398</f>
        <v>0</v>
      </c>
      <c r="F2400" s="32">
        <f>F2398</f>
        <v>0</v>
      </c>
      <c r="G2400" s="29"/>
    </row>
    <row r="2401" spans="1:7" x14ac:dyDescent="0.25">
      <c r="A2401" s="23" t="s">
        <v>2</v>
      </c>
      <c r="B2401" s="23" t="s">
        <v>2</v>
      </c>
      <c r="C2401" s="23" t="s">
        <v>2</v>
      </c>
      <c r="D2401" s="23" t="s">
        <v>2</v>
      </c>
      <c r="E2401" s="23" t="s">
        <v>2</v>
      </c>
      <c r="F2401" s="23" t="s">
        <v>2</v>
      </c>
      <c r="G2401" s="29"/>
    </row>
    <row r="2402" spans="1:7" x14ac:dyDescent="0.25">
      <c r="A2402" s="23" t="s">
        <v>2553</v>
      </c>
      <c r="B2402" s="23" t="s">
        <v>2</v>
      </c>
      <c r="C2402" s="29"/>
      <c r="D2402" s="29"/>
      <c r="E2402" s="29"/>
      <c r="F2402" s="29"/>
      <c r="G2402" s="29"/>
    </row>
    <row r="2403" spans="1:7" x14ac:dyDescent="0.25">
      <c r="A2403" s="30" t="s">
        <v>3092</v>
      </c>
      <c r="B2403" s="30" t="s">
        <v>3023</v>
      </c>
      <c r="C2403" s="31">
        <v>13909.32</v>
      </c>
      <c r="D2403" s="31">
        <v>0</v>
      </c>
      <c r="E2403" s="31">
        <v>10821</v>
      </c>
      <c r="F2403" s="31">
        <v>0</v>
      </c>
      <c r="G2403" s="29"/>
    </row>
    <row r="2404" spans="1:7" x14ac:dyDescent="0.25">
      <c r="A2404" s="30" t="s">
        <v>3093</v>
      </c>
      <c r="B2404" s="30" t="s">
        <v>3094</v>
      </c>
      <c r="C2404" s="31">
        <v>67041.02</v>
      </c>
      <c r="D2404" s="31">
        <v>0</v>
      </c>
      <c r="E2404" s="31">
        <v>39686</v>
      </c>
      <c r="F2404" s="31">
        <v>0</v>
      </c>
      <c r="G2404" s="29"/>
    </row>
    <row r="2405" spans="1:7" x14ac:dyDescent="0.25">
      <c r="A2405" s="30" t="s">
        <v>3095</v>
      </c>
      <c r="B2405" s="30" t="s">
        <v>3096</v>
      </c>
      <c r="C2405" s="31">
        <v>87829.77</v>
      </c>
      <c r="D2405" s="31">
        <v>0</v>
      </c>
      <c r="E2405" s="31">
        <v>92120</v>
      </c>
      <c r="F2405" s="31">
        <v>0</v>
      </c>
      <c r="G2405" s="29"/>
    </row>
    <row r="2406" spans="1:7" x14ac:dyDescent="0.25">
      <c r="A2406" s="30" t="s">
        <v>3097</v>
      </c>
      <c r="B2406" s="30" t="s">
        <v>3098</v>
      </c>
      <c r="C2406" s="31">
        <v>20284.43</v>
      </c>
      <c r="D2406" s="31">
        <v>0</v>
      </c>
      <c r="E2406" s="31">
        <v>15780</v>
      </c>
      <c r="F2406" s="31">
        <v>0</v>
      </c>
      <c r="G2406" s="29"/>
    </row>
    <row r="2407" spans="1:7" x14ac:dyDescent="0.25">
      <c r="A2407" s="30" t="s">
        <v>3099</v>
      </c>
      <c r="B2407" s="30" t="s">
        <v>3100</v>
      </c>
      <c r="C2407" s="31">
        <v>0</v>
      </c>
      <c r="D2407" s="31">
        <v>0</v>
      </c>
      <c r="E2407" s="31">
        <v>0</v>
      </c>
      <c r="F2407" s="31">
        <v>0</v>
      </c>
      <c r="G2407" s="29"/>
    </row>
    <row r="2408" spans="1:7" x14ac:dyDescent="0.25">
      <c r="A2408" s="30" t="s">
        <v>3101</v>
      </c>
      <c r="B2408" s="30" t="s">
        <v>3102</v>
      </c>
      <c r="C2408" s="31">
        <v>0</v>
      </c>
      <c r="D2408" s="31">
        <v>0</v>
      </c>
      <c r="E2408" s="31">
        <v>0</v>
      </c>
      <c r="F2408" s="31">
        <v>0</v>
      </c>
      <c r="G2408" s="29"/>
    </row>
    <row r="2409" spans="1:7" x14ac:dyDescent="0.25">
      <c r="A2409" s="23" t="s">
        <v>2556</v>
      </c>
      <c r="B2409" s="23" t="s">
        <v>2</v>
      </c>
      <c r="C2409" s="32">
        <v>189064.54</v>
      </c>
      <c r="D2409" s="32">
        <v>0</v>
      </c>
      <c r="E2409" s="32">
        <f>SUM(E2403:E2408)</f>
        <v>158407</v>
      </c>
      <c r="F2409" s="32">
        <f>SUM(F2403:F2408)</f>
        <v>0</v>
      </c>
      <c r="G2409" s="29"/>
    </row>
    <row r="2410" spans="1:7" x14ac:dyDescent="0.25">
      <c r="A2410" s="23" t="s">
        <v>2</v>
      </c>
      <c r="B2410" s="23" t="s">
        <v>2</v>
      </c>
      <c r="C2410" s="23" t="s">
        <v>2</v>
      </c>
      <c r="D2410" s="23" t="s">
        <v>2</v>
      </c>
      <c r="E2410" s="23" t="s">
        <v>2</v>
      </c>
      <c r="F2410" s="23" t="s">
        <v>2</v>
      </c>
      <c r="G2410" s="29"/>
    </row>
    <row r="2411" spans="1:7" x14ac:dyDescent="0.25">
      <c r="A2411" s="23" t="s">
        <v>1845</v>
      </c>
      <c r="B2411" s="23" t="s">
        <v>2</v>
      </c>
      <c r="C2411" s="32">
        <v>189064.54</v>
      </c>
      <c r="D2411" s="32">
        <v>0</v>
      </c>
      <c r="E2411" s="32">
        <f>E2409+E2400</f>
        <v>158407</v>
      </c>
      <c r="F2411" s="32">
        <f>F2409+F2400</f>
        <v>0</v>
      </c>
      <c r="G2411" s="29"/>
    </row>
    <row r="2412" spans="1:7" x14ac:dyDescent="0.25">
      <c r="A2412" s="1" t="s">
        <v>740</v>
      </c>
      <c r="B2412" s="1"/>
      <c r="C2412" s="4"/>
      <c r="D2412" s="4"/>
      <c r="E2412" s="6"/>
      <c r="F2412" s="6"/>
    </row>
    <row r="2413" spans="1:7" ht="15" customHeight="1" x14ac:dyDescent="0.25">
      <c r="A2413" s="1" t="s">
        <v>1828</v>
      </c>
      <c r="B2413" s="1" t="s">
        <v>2</v>
      </c>
      <c r="C2413" s="40"/>
    </row>
    <row r="2414" spans="1:7" ht="15" customHeight="1" x14ac:dyDescent="0.25">
      <c r="A2414" s="1" t="s">
        <v>556</v>
      </c>
      <c r="B2414" s="1" t="s">
        <v>2</v>
      </c>
    </row>
    <row r="2415" spans="1:7" ht="24" x14ac:dyDescent="0.25">
      <c r="A2415" s="1" t="s">
        <v>1161</v>
      </c>
      <c r="B2415" s="1" t="s">
        <v>2</v>
      </c>
    </row>
    <row r="2416" spans="1:7" x14ac:dyDescent="0.25">
      <c r="A2416" s="2" t="s">
        <v>1829</v>
      </c>
      <c r="B2416" s="2" t="s">
        <v>1830</v>
      </c>
      <c r="C2416" s="3">
        <v>30724.14</v>
      </c>
      <c r="D2416" s="3">
        <v>30724.14</v>
      </c>
      <c r="E2416" s="3">
        <v>30725</v>
      </c>
      <c r="F2416" s="5">
        <v>0</v>
      </c>
    </row>
    <row r="2417" spans="1:7" ht="15" customHeight="1" x14ac:dyDescent="0.25">
      <c r="A2417" s="2" t="s">
        <v>1831</v>
      </c>
      <c r="B2417" s="2" t="s">
        <v>1832</v>
      </c>
      <c r="C2417" s="3">
        <v>23684.21</v>
      </c>
      <c r="D2417" s="3">
        <v>0</v>
      </c>
      <c r="E2417" s="3">
        <v>0</v>
      </c>
      <c r="F2417" s="5">
        <v>0</v>
      </c>
    </row>
    <row r="2418" spans="1:7" ht="15" customHeight="1" x14ac:dyDescent="0.25">
      <c r="A2418" s="2" t="s">
        <v>1833</v>
      </c>
      <c r="B2418" s="2" t="s">
        <v>1834</v>
      </c>
      <c r="C2418" s="3">
        <v>50000</v>
      </c>
      <c r="D2418" s="3">
        <v>0</v>
      </c>
      <c r="E2418" s="3">
        <v>60000</v>
      </c>
      <c r="F2418" s="5">
        <v>0</v>
      </c>
    </row>
    <row r="2419" spans="1:7" x14ac:dyDescent="0.25">
      <c r="A2419" s="2" t="s">
        <v>1835</v>
      </c>
      <c r="B2419" s="2" t="s">
        <v>1836</v>
      </c>
      <c r="C2419" s="3">
        <v>46830.09</v>
      </c>
      <c r="D2419" s="3">
        <v>0</v>
      </c>
      <c r="E2419" s="3">
        <v>36031</v>
      </c>
      <c r="F2419" s="5">
        <v>0</v>
      </c>
    </row>
    <row r="2420" spans="1:7" ht="24" x14ac:dyDescent="0.25">
      <c r="A2420" s="1" t="s">
        <v>1164</v>
      </c>
      <c r="B2420" s="1" t="s">
        <v>2</v>
      </c>
      <c r="C2420" s="4">
        <v>151238.44</v>
      </c>
      <c r="D2420" s="4">
        <v>30724.14</v>
      </c>
      <c r="E2420" s="6">
        <f>SUM(E2416:E2419)</f>
        <v>126756</v>
      </c>
      <c r="F2420" s="6">
        <f>SUM(F2416:F2419)</f>
        <v>0</v>
      </c>
    </row>
    <row r="2421" spans="1:7" x14ac:dyDescent="0.25">
      <c r="A2421" s="1" t="s">
        <v>2</v>
      </c>
      <c r="B2421" s="1" t="s">
        <v>2</v>
      </c>
      <c r="C2421" s="1" t="s">
        <v>2</v>
      </c>
      <c r="D2421" s="1" t="s">
        <v>2</v>
      </c>
      <c r="E2421" s="1" t="s">
        <v>2</v>
      </c>
      <c r="F2421" s="1" t="s">
        <v>2</v>
      </c>
    </row>
    <row r="2422" spans="1:7" ht="15" customHeight="1" x14ac:dyDescent="0.25">
      <c r="A2422" s="1" t="s">
        <v>1153</v>
      </c>
      <c r="B2422" s="1" t="s">
        <v>2</v>
      </c>
    </row>
    <row r="2423" spans="1:7" ht="15" customHeight="1" x14ac:dyDescent="0.25">
      <c r="A2423" s="2" t="s">
        <v>1837</v>
      </c>
      <c r="B2423" s="2" t="s">
        <v>1838</v>
      </c>
      <c r="C2423" s="3">
        <v>1278.95</v>
      </c>
      <c r="D2423" s="3">
        <v>0</v>
      </c>
      <c r="E2423" s="3">
        <v>0</v>
      </c>
      <c r="F2423" s="5">
        <v>0</v>
      </c>
    </row>
    <row r="2424" spans="1:7" x14ac:dyDescent="0.25">
      <c r="A2424" s="2" t="s">
        <v>1839</v>
      </c>
      <c r="B2424" s="2" t="s">
        <v>1840</v>
      </c>
      <c r="C2424" s="3">
        <v>921.73</v>
      </c>
      <c r="D2424" s="3">
        <v>844.92</v>
      </c>
      <c r="E2424" s="3">
        <v>845</v>
      </c>
      <c r="F2424" s="5">
        <v>0</v>
      </c>
    </row>
    <row r="2425" spans="1:7" x14ac:dyDescent="0.25">
      <c r="A2425" s="2" t="s">
        <v>1841</v>
      </c>
      <c r="B2425" s="2" t="s">
        <v>1842</v>
      </c>
      <c r="C2425" s="3">
        <v>11125.41</v>
      </c>
      <c r="D2425" s="3">
        <v>0</v>
      </c>
      <c r="E2425" s="3">
        <v>9054</v>
      </c>
      <c r="F2425" s="5">
        <v>0</v>
      </c>
    </row>
    <row r="2426" spans="1:7" ht="15" customHeight="1" x14ac:dyDescent="0.25">
      <c r="A2426" s="2" t="s">
        <v>1843</v>
      </c>
      <c r="B2426" s="2" t="s">
        <v>1844</v>
      </c>
      <c r="C2426" s="3">
        <v>24500</v>
      </c>
      <c r="D2426" s="3">
        <v>0</v>
      </c>
      <c r="E2426" s="3">
        <v>21750</v>
      </c>
      <c r="F2426" s="5">
        <v>0</v>
      </c>
    </row>
    <row r="2427" spans="1:7" ht="15" customHeight="1" x14ac:dyDescent="0.25">
      <c r="A2427" s="1" t="s">
        <v>1158</v>
      </c>
      <c r="B2427" s="1" t="s">
        <v>2</v>
      </c>
      <c r="C2427" s="4">
        <v>37826.089999999997</v>
      </c>
      <c r="D2427" s="4">
        <v>844.92</v>
      </c>
      <c r="E2427" s="6">
        <f>SUM(E2423:E2426)</f>
        <v>31649</v>
      </c>
      <c r="F2427" s="6">
        <f>SUM(F2423:F2426)</f>
        <v>0</v>
      </c>
    </row>
    <row r="2428" spans="1:7" x14ac:dyDescent="0.25">
      <c r="A2428" s="1" t="s">
        <v>2</v>
      </c>
      <c r="B2428" s="1" t="s">
        <v>2</v>
      </c>
      <c r="C2428" s="1" t="s">
        <v>2</v>
      </c>
      <c r="D2428" s="1" t="s">
        <v>2</v>
      </c>
      <c r="E2428" s="1" t="s">
        <v>2</v>
      </c>
      <c r="F2428" s="1" t="s">
        <v>2</v>
      </c>
    </row>
    <row r="2429" spans="1:7" ht="15" customHeight="1" x14ac:dyDescent="0.25">
      <c r="A2429" s="1" t="s">
        <v>1845</v>
      </c>
      <c r="B2429" s="1" t="s">
        <v>2</v>
      </c>
      <c r="C2429" s="4">
        <v>189064.53</v>
      </c>
      <c r="D2429" s="4">
        <v>31569.06</v>
      </c>
      <c r="E2429" s="6">
        <f>E2427+E2420</f>
        <v>158405</v>
      </c>
      <c r="F2429" s="6">
        <f>F2427+F2420</f>
        <v>0</v>
      </c>
    </row>
    <row r="2430" spans="1:7" ht="15" customHeight="1" x14ac:dyDescent="0.25">
      <c r="A2430" s="25" t="s">
        <v>3103</v>
      </c>
      <c r="B2430" s="25"/>
      <c r="C2430" s="33">
        <f>C2391+C2411-C2429</f>
        <v>22257.380000000005</v>
      </c>
      <c r="D2430" s="33">
        <f t="shared" ref="D2430:F2430" si="32">D2391+D2411-D2429</f>
        <v>-9311.68</v>
      </c>
      <c r="E2430" s="33">
        <f t="shared" si="32"/>
        <v>22259.380000000005</v>
      </c>
      <c r="F2430" s="33">
        <f t="shared" si="32"/>
        <v>22259.380000000005</v>
      </c>
      <c r="G2430" s="25"/>
    </row>
    <row r="2431" spans="1:7" x14ac:dyDescent="0.25">
      <c r="A2431" s="1" t="s">
        <v>2</v>
      </c>
      <c r="B2431" s="1" t="s">
        <v>2</v>
      </c>
      <c r="C2431" s="36"/>
      <c r="D2431" s="1" t="s">
        <v>2</v>
      </c>
      <c r="E2431" s="36"/>
      <c r="F2431" s="1" t="s">
        <v>2</v>
      </c>
    </row>
    <row r="2432" spans="1:7" ht="15" customHeight="1" x14ac:dyDescent="0.25">
      <c r="A2432" s="27" t="s">
        <v>3104</v>
      </c>
      <c r="B2432" s="27"/>
      <c r="C2432" s="28">
        <v>44657.69</v>
      </c>
      <c r="D2432" s="28">
        <v>67605.98</v>
      </c>
      <c r="E2432" s="28">
        <v>67605.98</v>
      </c>
      <c r="F2432" s="28">
        <f>E2445</f>
        <v>29486.979999999996</v>
      </c>
      <c r="G2432" s="27"/>
    </row>
    <row r="2433" spans="1:7" x14ac:dyDescent="0.25">
      <c r="A2433" s="23" t="s">
        <v>1846</v>
      </c>
      <c r="B2433" s="23" t="s">
        <v>2</v>
      </c>
      <c r="C2433" s="29"/>
      <c r="D2433" s="29"/>
      <c r="E2433" s="29"/>
      <c r="F2433" s="29"/>
      <c r="G2433" s="29"/>
    </row>
    <row r="2434" spans="1:7" x14ac:dyDescent="0.25">
      <c r="A2434" s="23" t="s">
        <v>2026</v>
      </c>
      <c r="B2434" s="23" t="s">
        <v>2</v>
      </c>
      <c r="C2434" s="29"/>
      <c r="D2434" s="29"/>
      <c r="E2434" s="29"/>
      <c r="F2434" s="29"/>
      <c r="G2434" s="29"/>
    </row>
    <row r="2435" spans="1:7" x14ac:dyDescent="0.25">
      <c r="A2435" s="30" t="s">
        <v>3105</v>
      </c>
      <c r="B2435" s="30" t="s">
        <v>2409</v>
      </c>
      <c r="C2435" s="31">
        <v>0</v>
      </c>
      <c r="D2435" s="31">
        <v>0</v>
      </c>
      <c r="E2435" s="31">
        <v>0</v>
      </c>
      <c r="F2435" s="31">
        <v>0</v>
      </c>
      <c r="G2435" s="29"/>
    </row>
    <row r="2436" spans="1:7" x14ac:dyDescent="0.25">
      <c r="A2436" s="30" t="s">
        <v>3106</v>
      </c>
      <c r="B2436" s="30" t="s">
        <v>3107</v>
      </c>
      <c r="C2436" s="31">
        <v>55367.41</v>
      </c>
      <c r="D2436" s="31">
        <v>20769.55</v>
      </c>
      <c r="E2436" s="31">
        <v>43200</v>
      </c>
      <c r="F2436" s="31">
        <v>0</v>
      </c>
      <c r="G2436" s="29"/>
    </row>
    <row r="2437" spans="1:7" x14ac:dyDescent="0.25">
      <c r="A2437" s="30" t="s">
        <v>3108</v>
      </c>
      <c r="B2437" s="30" t="s">
        <v>3109</v>
      </c>
      <c r="C2437" s="31">
        <v>0</v>
      </c>
      <c r="D2437" s="31">
        <v>0</v>
      </c>
      <c r="E2437" s="31">
        <v>0</v>
      </c>
      <c r="F2437" s="31">
        <v>0</v>
      </c>
      <c r="G2437" s="29"/>
    </row>
    <row r="2438" spans="1:7" x14ac:dyDescent="0.25">
      <c r="A2438" s="23" t="s">
        <v>1853</v>
      </c>
      <c r="B2438" s="23" t="s">
        <v>2</v>
      </c>
      <c r="C2438" s="32">
        <v>55367.41</v>
      </c>
      <c r="D2438" s="32">
        <v>20769.55</v>
      </c>
      <c r="E2438" s="32">
        <f>SUM(E2435:E2437)</f>
        <v>43200</v>
      </c>
      <c r="F2438" s="32">
        <f>SUM(F2435:F2437)</f>
        <v>0</v>
      </c>
      <c r="G2438" s="29"/>
    </row>
    <row r="2439" spans="1:7" x14ac:dyDescent="0.25">
      <c r="A2439" s="1" t="s">
        <v>740</v>
      </c>
      <c r="B2439" s="1"/>
      <c r="C2439" s="4"/>
      <c r="D2439" s="4"/>
      <c r="E2439" s="6"/>
      <c r="F2439" s="6"/>
      <c r="G2439" s="6"/>
    </row>
    <row r="2440" spans="1:7" ht="15" customHeight="1" x14ac:dyDescent="0.25">
      <c r="A2440" s="1" t="s">
        <v>1846</v>
      </c>
      <c r="B2440" s="1" t="s">
        <v>2</v>
      </c>
    </row>
    <row r="2441" spans="1:7" ht="15" customHeight="1" x14ac:dyDescent="0.25">
      <c r="A2441" s="2" t="s">
        <v>1847</v>
      </c>
      <c r="B2441" s="2" t="s">
        <v>1848</v>
      </c>
      <c r="C2441" s="3">
        <v>0</v>
      </c>
      <c r="D2441" s="3">
        <v>0</v>
      </c>
      <c r="E2441" s="3">
        <v>0</v>
      </c>
      <c r="F2441" s="5">
        <v>0</v>
      </c>
    </row>
    <row r="2442" spans="1:7" ht="15" customHeight="1" x14ac:dyDescent="0.25">
      <c r="A2442" s="2" t="s">
        <v>1849</v>
      </c>
      <c r="B2442" s="2" t="s">
        <v>1850</v>
      </c>
      <c r="C2442" s="3">
        <v>30795.91</v>
      </c>
      <c r="D2442" s="3">
        <v>0</v>
      </c>
      <c r="E2442" s="3">
        <v>80000</v>
      </c>
      <c r="F2442" s="5">
        <v>0</v>
      </c>
    </row>
    <row r="2443" spans="1:7" ht="15" customHeight="1" x14ac:dyDescent="0.25">
      <c r="A2443" s="2" t="s">
        <v>1851</v>
      </c>
      <c r="B2443" s="2" t="s">
        <v>1852</v>
      </c>
      <c r="C2443" s="3">
        <v>1623.21</v>
      </c>
      <c r="D2443" s="3">
        <v>0</v>
      </c>
      <c r="E2443" s="3">
        <v>1319</v>
      </c>
      <c r="F2443" s="5">
        <v>0</v>
      </c>
    </row>
    <row r="2444" spans="1:7" ht="15" customHeight="1" x14ac:dyDescent="0.25">
      <c r="A2444" s="1" t="s">
        <v>1853</v>
      </c>
      <c r="B2444" s="1" t="s">
        <v>2</v>
      </c>
      <c r="C2444" s="4">
        <v>32419.119999999999</v>
      </c>
      <c r="D2444" s="4">
        <v>0</v>
      </c>
      <c r="E2444" s="6">
        <f>SUM(E2441:E2443)</f>
        <v>81319</v>
      </c>
      <c r="F2444" s="6">
        <f>SUM(F2441:F2443)</f>
        <v>0</v>
      </c>
    </row>
    <row r="2445" spans="1:7" ht="15" customHeight="1" x14ac:dyDescent="0.25">
      <c r="A2445" s="25" t="s">
        <v>3110</v>
      </c>
      <c r="B2445" s="25" t="s">
        <v>2</v>
      </c>
      <c r="C2445" s="33">
        <f>C2432+C2438-C2444</f>
        <v>67605.98000000001</v>
      </c>
      <c r="D2445" s="33">
        <f t="shared" ref="D2445:F2445" si="33">D2432+D2438-D2444</f>
        <v>88375.53</v>
      </c>
      <c r="E2445" s="33">
        <f t="shared" si="33"/>
        <v>29486.979999999996</v>
      </c>
      <c r="F2445" s="33">
        <f t="shared" si="33"/>
        <v>29486.979999999996</v>
      </c>
      <c r="G2445" s="25"/>
    </row>
    <row r="2446" spans="1:7" x14ac:dyDescent="0.25">
      <c r="A2446" s="1" t="s">
        <v>2</v>
      </c>
      <c r="B2446" s="1" t="s">
        <v>2</v>
      </c>
      <c r="C2446" s="1" t="s">
        <v>2</v>
      </c>
      <c r="D2446" s="1" t="s">
        <v>2</v>
      </c>
      <c r="E2446" s="1" t="s">
        <v>2</v>
      </c>
      <c r="F2446" s="1" t="s">
        <v>2</v>
      </c>
    </row>
    <row r="2447" spans="1:7" ht="15" customHeight="1" x14ac:dyDescent="0.25">
      <c r="A2447" s="27" t="s">
        <v>3111</v>
      </c>
      <c r="B2447" s="27" t="s">
        <v>2</v>
      </c>
      <c r="C2447" s="28">
        <v>3619415.45</v>
      </c>
      <c r="D2447" s="28">
        <v>3509975.18</v>
      </c>
      <c r="E2447" s="28">
        <v>3509975.18</v>
      </c>
      <c r="F2447" s="28">
        <f>E2458</f>
        <v>-3506.8599999998696</v>
      </c>
      <c r="G2447" s="27"/>
    </row>
    <row r="2448" spans="1:7" x14ac:dyDescent="0.25">
      <c r="A2448" s="23" t="s">
        <v>1854</v>
      </c>
      <c r="B2448" s="23" t="s">
        <v>2</v>
      </c>
      <c r="C2448" s="29"/>
      <c r="D2448" s="29"/>
      <c r="E2448" s="29"/>
      <c r="F2448" s="29"/>
      <c r="G2448" s="29"/>
    </row>
    <row r="2449" spans="1:7" x14ac:dyDescent="0.25">
      <c r="A2449" s="23" t="s">
        <v>2026</v>
      </c>
      <c r="B2449" s="23" t="s">
        <v>2</v>
      </c>
      <c r="C2449" s="29"/>
      <c r="D2449" s="29"/>
      <c r="E2449" s="29"/>
      <c r="F2449" s="29"/>
      <c r="G2449" s="29"/>
    </row>
    <row r="2450" spans="1:7" x14ac:dyDescent="0.25">
      <c r="A2450" s="30" t="s">
        <v>3112</v>
      </c>
      <c r="B2450" s="30" t="s">
        <v>3113</v>
      </c>
      <c r="C2450" s="31">
        <v>0</v>
      </c>
      <c r="D2450" s="31">
        <v>0</v>
      </c>
      <c r="E2450" s="31">
        <v>600000</v>
      </c>
      <c r="F2450" s="31">
        <v>0</v>
      </c>
      <c r="G2450" s="29"/>
    </row>
    <row r="2451" spans="1:7" x14ac:dyDescent="0.25">
      <c r="A2451" s="30" t="s">
        <v>3114</v>
      </c>
      <c r="B2451" s="30" t="s">
        <v>3115</v>
      </c>
      <c r="C2451" s="31">
        <v>0</v>
      </c>
      <c r="D2451" s="31">
        <v>0</v>
      </c>
      <c r="E2451" s="31">
        <v>36517.96</v>
      </c>
      <c r="F2451" s="31">
        <v>0</v>
      </c>
      <c r="G2451" s="29"/>
    </row>
    <row r="2452" spans="1:7" x14ac:dyDescent="0.25">
      <c r="A2452" s="23" t="s">
        <v>1859</v>
      </c>
      <c r="B2452" s="23" t="s">
        <v>2</v>
      </c>
      <c r="C2452" s="32">
        <v>0</v>
      </c>
      <c r="D2452" s="32">
        <v>0</v>
      </c>
      <c r="E2452" s="32">
        <f>SUM(E2450:E2451)</f>
        <v>636517.96</v>
      </c>
      <c r="F2452" s="32">
        <f>SUM(F2450:F2451)</f>
        <v>0</v>
      </c>
      <c r="G2452" s="29"/>
    </row>
    <row r="2453" spans="1:7" x14ac:dyDescent="0.25">
      <c r="A2453" s="1" t="s">
        <v>740</v>
      </c>
      <c r="B2453" s="1" t="s">
        <v>2</v>
      </c>
      <c r="C2453" s="1" t="s">
        <v>2</v>
      </c>
      <c r="D2453" s="1" t="s">
        <v>2</v>
      </c>
      <c r="E2453" s="1" t="s">
        <v>2</v>
      </c>
      <c r="F2453" s="1" t="s">
        <v>2</v>
      </c>
    </row>
    <row r="2454" spans="1:7" ht="15" customHeight="1" x14ac:dyDescent="0.25">
      <c r="A2454" s="1" t="s">
        <v>1854</v>
      </c>
      <c r="B2454" s="1" t="s">
        <v>2</v>
      </c>
    </row>
    <row r="2455" spans="1:7" ht="15" customHeight="1" x14ac:dyDescent="0.25">
      <c r="A2455" s="2" t="s">
        <v>1855</v>
      </c>
      <c r="B2455" s="2" t="s">
        <v>1856</v>
      </c>
      <c r="C2455" s="3">
        <v>106024.27</v>
      </c>
      <c r="D2455" s="3">
        <v>9154.64</v>
      </c>
      <c r="E2455" s="3">
        <v>4150000</v>
      </c>
      <c r="F2455" s="5">
        <v>0</v>
      </c>
    </row>
    <row r="2456" spans="1:7" ht="15" customHeight="1" x14ac:dyDescent="0.25">
      <c r="A2456" s="2" t="s">
        <v>1857</v>
      </c>
      <c r="B2456" s="2" t="s">
        <v>1858</v>
      </c>
      <c r="C2456" s="3">
        <v>3416</v>
      </c>
      <c r="D2456" s="3">
        <v>13091.84</v>
      </c>
      <c r="E2456" s="3">
        <v>0</v>
      </c>
      <c r="F2456" s="5">
        <v>0</v>
      </c>
    </row>
    <row r="2457" spans="1:7" ht="15" customHeight="1" x14ac:dyDescent="0.25">
      <c r="A2457" s="1" t="s">
        <v>1859</v>
      </c>
      <c r="B2457" s="1" t="s">
        <v>2</v>
      </c>
      <c r="C2457" s="4">
        <v>109440.27</v>
      </c>
      <c r="D2457" s="4">
        <v>22246.48</v>
      </c>
      <c r="E2457" s="6">
        <f>SUM(E2455:E2456)</f>
        <v>4150000</v>
      </c>
      <c r="F2457" s="6">
        <f>SUM(F2455:F2456)</f>
        <v>0</v>
      </c>
    </row>
    <row r="2458" spans="1:7" ht="15" customHeight="1" x14ac:dyDescent="0.25">
      <c r="A2458" s="25" t="s">
        <v>3116</v>
      </c>
      <c r="B2458" s="25"/>
      <c r="C2458" s="33">
        <f>C2447+C2452-C2457</f>
        <v>3509975.18</v>
      </c>
      <c r="D2458" s="33">
        <f>D2447+D2452-D2457</f>
        <v>3487728.7</v>
      </c>
      <c r="E2458" s="33">
        <f t="shared" ref="E2458:F2458" si="34">E2447+E2452-E2457</f>
        <v>-3506.8599999998696</v>
      </c>
      <c r="F2458" s="33">
        <f t="shared" si="34"/>
        <v>-3506.8599999998696</v>
      </c>
      <c r="G2458" s="25"/>
    </row>
    <row r="2459" spans="1:7" x14ac:dyDescent="0.25">
      <c r="A2459" s="1" t="s">
        <v>2</v>
      </c>
      <c r="B2459" s="1" t="s">
        <v>2</v>
      </c>
      <c r="C2459" s="1" t="s">
        <v>2</v>
      </c>
      <c r="D2459" s="1" t="s">
        <v>2</v>
      </c>
      <c r="E2459" s="1" t="s">
        <v>2</v>
      </c>
      <c r="F2459" s="1" t="s">
        <v>2</v>
      </c>
    </row>
    <row r="2460" spans="1:7" ht="15" customHeight="1" x14ac:dyDescent="0.25">
      <c r="A2460" s="27" t="s">
        <v>3117</v>
      </c>
      <c r="B2460" s="27"/>
      <c r="C2460" s="28">
        <v>411517.96</v>
      </c>
      <c r="D2460" s="28">
        <v>407993.67</v>
      </c>
      <c r="E2460" s="28">
        <v>407993.67</v>
      </c>
      <c r="F2460" s="28">
        <f>E2471</f>
        <v>371475.70999999996</v>
      </c>
      <c r="G2460" s="27"/>
    </row>
    <row r="2461" spans="1:7" x14ac:dyDescent="0.25">
      <c r="A2461" s="23" t="s">
        <v>1860</v>
      </c>
      <c r="B2461" s="23" t="s">
        <v>2</v>
      </c>
      <c r="C2461" s="29"/>
      <c r="D2461" s="29"/>
      <c r="E2461" s="29"/>
      <c r="F2461" s="29"/>
      <c r="G2461" s="29"/>
    </row>
    <row r="2462" spans="1:7" x14ac:dyDescent="0.25">
      <c r="A2462" s="23" t="s">
        <v>2026</v>
      </c>
      <c r="B2462" s="23" t="s">
        <v>2</v>
      </c>
      <c r="C2462" s="29"/>
      <c r="D2462" s="29"/>
      <c r="E2462" s="29"/>
      <c r="F2462" s="29"/>
      <c r="G2462" s="29"/>
    </row>
    <row r="2463" spans="1:7" x14ac:dyDescent="0.25">
      <c r="A2463" s="30" t="s">
        <v>3118</v>
      </c>
      <c r="B2463" s="30" t="s">
        <v>3119</v>
      </c>
      <c r="C2463" s="31">
        <v>0</v>
      </c>
      <c r="D2463" s="31">
        <v>0</v>
      </c>
      <c r="E2463" s="31">
        <v>0</v>
      </c>
      <c r="F2463" s="31">
        <v>0</v>
      </c>
      <c r="G2463" s="29"/>
    </row>
    <row r="2464" spans="1:7" x14ac:dyDescent="0.25">
      <c r="A2464" s="30" t="s">
        <v>3120</v>
      </c>
      <c r="B2464" s="30" t="s">
        <v>3121</v>
      </c>
      <c r="C2464" s="31">
        <v>0</v>
      </c>
      <c r="D2464" s="31">
        <v>0</v>
      </c>
      <c r="E2464" s="31">
        <v>0</v>
      </c>
      <c r="F2464" s="31">
        <v>0</v>
      </c>
      <c r="G2464" s="29"/>
    </row>
    <row r="2465" spans="1:7" x14ac:dyDescent="0.25">
      <c r="A2465" s="23" t="s">
        <v>1865</v>
      </c>
      <c r="B2465" s="23" t="s">
        <v>2</v>
      </c>
      <c r="C2465" s="32">
        <v>0</v>
      </c>
      <c r="D2465" s="32">
        <v>0</v>
      </c>
      <c r="E2465" s="32">
        <f>SUM(E2463:E2464)</f>
        <v>0</v>
      </c>
      <c r="F2465" s="32">
        <f>SUM(F2463:F2464)</f>
        <v>0</v>
      </c>
      <c r="G2465" s="29"/>
    </row>
    <row r="2466" spans="1:7" x14ac:dyDescent="0.25">
      <c r="A2466" s="1" t="s">
        <v>740</v>
      </c>
      <c r="B2466" s="1"/>
      <c r="C2466" s="4"/>
      <c r="D2466" s="4"/>
      <c r="E2466" s="6"/>
      <c r="F2466" s="6"/>
    </row>
    <row r="2467" spans="1:7" x14ac:dyDescent="0.25">
      <c r="A2467" s="1" t="s">
        <v>1860</v>
      </c>
      <c r="B2467" s="1" t="s">
        <v>2</v>
      </c>
      <c r="C2467" s="40"/>
      <c r="E2467" s="40"/>
    </row>
    <row r="2468" spans="1:7" x14ac:dyDescent="0.25">
      <c r="A2468" s="2" t="s">
        <v>1861</v>
      </c>
      <c r="B2468" s="2" t="s">
        <v>1862</v>
      </c>
      <c r="C2468" s="3">
        <v>3524.29</v>
      </c>
      <c r="D2468" s="3">
        <v>335522.24</v>
      </c>
      <c r="E2468" s="3">
        <v>0</v>
      </c>
      <c r="F2468" s="5">
        <v>0</v>
      </c>
    </row>
    <row r="2469" spans="1:7" ht="15" customHeight="1" x14ac:dyDescent="0.25">
      <c r="A2469" s="2" t="s">
        <v>1863</v>
      </c>
      <c r="B2469" s="2" t="s">
        <v>1864</v>
      </c>
      <c r="C2469" s="3">
        <v>0</v>
      </c>
      <c r="D2469" s="3">
        <v>0</v>
      </c>
      <c r="E2469" s="3">
        <v>36517.96</v>
      </c>
      <c r="F2469" s="5">
        <v>0</v>
      </c>
    </row>
    <row r="2470" spans="1:7" ht="15" customHeight="1" x14ac:dyDescent="0.25">
      <c r="A2470" s="1" t="s">
        <v>1865</v>
      </c>
      <c r="B2470" s="1" t="s">
        <v>2</v>
      </c>
      <c r="C2470" s="4">
        <v>3524.29</v>
      </c>
      <c r="D2470" s="4">
        <v>335522.24</v>
      </c>
      <c r="E2470" s="6">
        <f>SUM(E2468:E2469)</f>
        <v>36517.96</v>
      </c>
      <c r="F2470" s="6">
        <f>SUM(F2468:F2469)</f>
        <v>0</v>
      </c>
    </row>
    <row r="2471" spans="1:7" ht="15" customHeight="1" x14ac:dyDescent="0.25">
      <c r="A2471" s="25" t="s">
        <v>3122</v>
      </c>
      <c r="B2471" s="25"/>
      <c r="C2471" s="33">
        <f>C2460+C2465-C2470</f>
        <v>407993.67000000004</v>
      </c>
      <c r="D2471" s="33">
        <f t="shared" ref="D2471:F2471" si="35">D2460+D2465-D2470</f>
        <v>72471.429999999993</v>
      </c>
      <c r="E2471" s="33">
        <f t="shared" si="35"/>
        <v>371475.70999999996</v>
      </c>
      <c r="F2471" s="33">
        <f t="shared" si="35"/>
        <v>371475.70999999996</v>
      </c>
      <c r="G2471" s="25"/>
    </row>
    <row r="2472" spans="1:7" x14ac:dyDescent="0.25">
      <c r="A2472" s="1" t="s">
        <v>2</v>
      </c>
      <c r="B2472" s="1" t="s">
        <v>2</v>
      </c>
      <c r="C2472" s="1" t="s">
        <v>2</v>
      </c>
      <c r="D2472" s="1" t="s">
        <v>2</v>
      </c>
      <c r="E2472" s="1" t="s">
        <v>2</v>
      </c>
      <c r="F2472" s="1" t="s">
        <v>2</v>
      </c>
    </row>
    <row r="2473" spans="1:7" ht="15" customHeight="1" x14ac:dyDescent="0.25">
      <c r="A2473" s="27" t="s">
        <v>3123</v>
      </c>
      <c r="B2473" s="27"/>
      <c r="C2473" s="28">
        <v>-1017297.35</v>
      </c>
      <c r="D2473" s="28">
        <v>1185922.51</v>
      </c>
      <c r="E2473" s="28">
        <v>1185922.51</v>
      </c>
      <c r="F2473" s="28">
        <f>E2489</f>
        <v>1165922.5099999998</v>
      </c>
      <c r="G2473" s="27"/>
    </row>
    <row r="2474" spans="1:7" x14ac:dyDescent="0.25">
      <c r="A2474" s="23" t="s">
        <v>1866</v>
      </c>
      <c r="B2474" s="23" t="s">
        <v>2</v>
      </c>
      <c r="C2474" s="29"/>
      <c r="D2474" s="29"/>
      <c r="E2474" s="29"/>
      <c r="F2474" s="29"/>
      <c r="G2474" s="29"/>
    </row>
    <row r="2475" spans="1:7" x14ac:dyDescent="0.25">
      <c r="A2475" s="23" t="s">
        <v>2026</v>
      </c>
      <c r="B2475" s="23" t="s">
        <v>2</v>
      </c>
      <c r="C2475" s="29"/>
      <c r="D2475" s="29"/>
      <c r="E2475" s="29"/>
      <c r="F2475" s="29"/>
      <c r="G2475" s="29"/>
    </row>
    <row r="2476" spans="1:7" x14ac:dyDescent="0.25">
      <c r="A2476" s="30" t="s">
        <v>3124</v>
      </c>
      <c r="B2476" s="30" t="s">
        <v>3125</v>
      </c>
      <c r="C2476" s="31">
        <v>876177.06</v>
      </c>
      <c r="D2476" s="31">
        <v>31036.36</v>
      </c>
      <c r="E2476" s="31">
        <v>0</v>
      </c>
      <c r="F2476" s="31">
        <v>0</v>
      </c>
      <c r="G2476" s="29"/>
    </row>
    <row r="2477" spans="1:7" x14ac:dyDescent="0.25">
      <c r="A2477" s="30" t="s">
        <v>3126</v>
      </c>
      <c r="B2477" s="30" t="s">
        <v>3127</v>
      </c>
      <c r="C2477" s="31">
        <v>1100000</v>
      </c>
      <c r="D2477" s="31">
        <v>0</v>
      </c>
      <c r="E2477" s="31">
        <v>2000000</v>
      </c>
      <c r="F2477" s="31">
        <v>0</v>
      </c>
      <c r="G2477" s="29"/>
    </row>
    <row r="2478" spans="1:7" x14ac:dyDescent="0.25">
      <c r="A2478" s="30" t="s">
        <v>3128</v>
      </c>
      <c r="B2478" s="30" t="s">
        <v>3129</v>
      </c>
      <c r="C2478" s="31">
        <v>11163088.470000001</v>
      </c>
      <c r="D2478" s="31">
        <v>1234658.21</v>
      </c>
      <c r="E2478" s="31">
        <v>2215000</v>
      </c>
      <c r="F2478" s="31">
        <v>0</v>
      </c>
      <c r="G2478" s="29"/>
    </row>
    <row r="2479" spans="1:7" x14ac:dyDescent="0.25">
      <c r="A2479" s="30" t="s">
        <v>3130</v>
      </c>
      <c r="B2479" s="30" t="s">
        <v>3131</v>
      </c>
      <c r="C2479" s="31">
        <v>0</v>
      </c>
      <c r="D2479" s="31">
        <v>0</v>
      </c>
      <c r="E2479" s="31">
        <v>0</v>
      </c>
      <c r="F2479" s="31">
        <v>0</v>
      </c>
      <c r="G2479" s="29"/>
    </row>
    <row r="2480" spans="1:7" ht="24" x14ac:dyDescent="0.25">
      <c r="A2480" s="23" t="s">
        <v>1877</v>
      </c>
      <c r="B2480" s="23" t="s">
        <v>2</v>
      </c>
      <c r="C2480" s="32">
        <v>13139265.529999999</v>
      </c>
      <c r="D2480" s="32">
        <v>1265694.57</v>
      </c>
      <c r="E2480" s="32">
        <f>SUM(E2476:E2479)</f>
        <v>4215000</v>
      </c>
      <c r="F2480" s="32">
        <f>SUM(F2476:F2479)</f>
        <v>0</v>
      </c>
      <c r="G2480" s="29"/>
    </row>
    <row r="2481" spans="1:7" x14ac:dyDescent="0.25">
      <c r="A2481" s="1" t="s">
        <v>740</v>
      </c>
      <c r="B2481" s="1"/>
      <c r="C2481" s="4"/>
      <c r="D2481" s="4"/>
      <c r="E2481" s="6"/>
      <c r="F2481" s="6"/>
    </row>
    <row r="2482" spans="1:7" ht="15" customHeight="1" x14ac:dyDescent="0.25">
      <c r="A2482" s="1" t="s">
        <v>1866</v>
      </c>
      <c r="B2482" s="1" t="s">
        <v>2</v>
      </c>
      <c r="C2482" s="40"/>
      <c r="E2482" s="40"/>
    </row>
    <row r="2483" spans="1:7" ht="15" customHeight="1" x14ac:dyDescent="0.25">
      <c r="A2483" s="2" t="s">
        <v>1867</v>
      </c>
      <c r="B2483" s="2" t="s">
        <v>1868</v>
      </c>
      <c r="C2483" s="3">
        <v>9834808.1699999999</v>
      </c>
      <c r="D2483" s="3">
        <v>1500400.9</v>
      </c>
      <c r="E2483" s="3">
        <v>2215000</v>
      </c>
      <c r="F2483" s="5">
        <v>0</v>
      </c>
    </row>
    <row r="2484" spans="1:7" ht="15" customHeight="1" x14ac:dyDescent="0.25">
      <c r="A2484" s="2" t="s">
        <v>1869</v>
      </c>
      <c r="B2484" s="2" t="s">
        <v>1870</v>
      </c>
      <c r="C2484" s="3">
        <v>0</v>
      </c>
      <c r="D2484" s="3">
        <v>0</v>
      </c>
      <c r="E2484" s="3">
        <v>0</v>
      </c>
      <c r="F2484" s="5">
        <v>0</v>
      </c>
    </row>
    <row r="2485" spans="1:7" ht="15" customHeight="1" x14ac:dyDescent="0.25">
      <c r="A2485" s="2" t="s">
        <v>1871</v>
      </c>
      <c r="B2485" s="2" t="s">
        <v>1872</v>
      </c>
      <c r="C2485" s="3">
        <v>1100000</v>
      </c>
      <c r="D2485" s="3">
        <v>0</v>
      </c>
      <c r="E2485" s="3">
        <v>2000000</v>
      </c>
      <c r="F2485" s="5">
        <v>0</v>
      </c>
    </row>
    <row r="2486" spans="1:7" x14ac:dyDescent="0.25">
      <c r="A2486" s="2" t="s">
        <v>1873</v>
      </c>
      <c r="B2486" s="2" t="s">
        <v>1874</v>
      </c>
      <c r="C2486" s="3">
        <v>0</v>
      </c>
      <c r="D2486" s="3">
        <v>0</v>
      </c>
      <c r="E2486" s="3">
        <v>0</v>
      </c>
      <c r="F2486" s="5">
        <v>0</v>
      </c>
    </row>
    <row r="2487" spans="1:7" ht="15" customHeight="1" x14ac:dyDescent="0.25">
      <c r="A2487" s="2" t="s">
        <v>1875</v>
      </c>
      <c r="B2487" s="2" t="s">
        <v>1876</v>
      </c>
      <c r="C2487" s="3">
        <v>1237.5</v>
      </c>
      <c r="D2487" s="3">
        <v>0</v>
      </c>
      <c r="E2487" s="3">
        <v>20000</v>
      </c>
      <c r="F2487" s="5">
        <v>0</v>
      </c>
    </row>
    <row r="2488" spans="1:7" ht="24" x14ac:dyDescent="0.25">
      <c r="A2488" s="1" t="s">
        <v>1877</v>
      </c>
      <c r="B2488" s="1" t="s">
        <v>2</v>
      </c>
      <c r="C2488" s="4">
        <v>10936045.67</v>
      </c>
      <c r="D2488" s="4">
        <v>1500400.9</v>
      </c>
      <c r="E2488" s="6">
        <f>SUM(E2483:E2487)</f>
        <v>4235000</v>
      </c>
      <c r="F2488" s="6">
        <f>SUM(F2483:F2487)</f>
        <v>0</v>
      </c>
    </row>
    <row r="2489" spans="1:7" ht="15" customHeight="1" x14ac:dyDescent="0.25">
      <c r="A2489" s="25" t="s">
        <v>3132</v>
      </c>
      <c r="B2489" s="25"/>
      <c r="C2489" s="33">
        <f>C2473+C2480-C2488</f>
        <v>1185922.5099999998</v>
      </c>
      <c r="D2489" s="33">
        <f t="shared" ref="D2489:F2489" si="36">D2473+D2480-D2488</f>
        <v>951216.18000000017</v>
      </c>
      <c r="E2489" s="33">
        <f t="shared" si="36"/>
        <v>1165922.5099999998</v>
      </c>
      <c r="F2489" s="33">
        <f t="shared" si="36"/>
        <v>1165922.5099999998</v>
      </c>
      <c r="G2489" s="25"/>
    </row>
    <row r="2490" spans="1:7" x14ac:dyDescent="0.25">
      <c r="A2490" s="1" t="s">
        <v>2</v>
      </c>
      <c r="B2490" s="1" t="s">
        <v>2</v>
      </c>
      <c r="C2490" s="1" t="s">
        <v>2</v>
      </c>
      <c r="D2490" s="1" t="s">
        <v>2</v>
      </c>
      <c r="E2490" s="1" t="s">
        <v>2</v>
      </c>
      <c r="F2490" s="1" t="s">
        <v>2</v>
      </c>
    </row>
    <row r="2491" spans="1:7" ht="15" customHeight="1" x14ac:dyDescent="0.25">
      <c r="A2491" s="27" t="s">
        <v>3133</v>
      </c>
      <c r="B2491" s="27"/>
      <c r="C2491" s="28">
        <v>97166.23</v>
      </c>
      <c r="D2491" s="28">
        <v>100143.52</v>
      </c>
      <c r="E2491" s="28">
        <v>100143.52</v>
      </c>
      <c r="F2491" s="28">
        <f>E2533</f>
        <v>35067.140000000014</v>
      </c>
      <c r="G2491" s="27"/>
    </row>
    <row r="2492" spans="1:7" x14ac:dyDescent="0.25">
      <c r="A2492" s="23" t="s">
        <v>41</v>
      </c>
      <c r="B2492" s="23" t="s">
        <v>2</v>
      </c>
      <c r="C2492" s="29"/>
      <c r="D2492" s="29"/>
      <c r="E2492" s="29"/>
      <c r="F2492" s="29"/>
      <c r="G2492" s="29"/>
    </row>
    <row r="2493" spans="1:7" x14ac:dyDescent="0.25">
      <c r="A2493" s="23" t="s">
        <v>2026</v>
      </c>
      <c r="B2493" s="23" t="s">
        <v>2</v>
      </c>
      <c r="C2493" s="29"/>
      <c r="D2493" s="29"/>
      <c r="E2493" s="29"/>
      <c r="F2493" s="29"/>
      <c r="G2493" s="29"/>
    </row>
    <row r="2494" spans="1:7" x14ac:dyDescent="0.25">
      <c r="A2494" s="23" t="s">
        <v>2102</v>
      </c>
      <c r="B2494" s="23" t="s">
        <v>2</v>
      </c>
      <c r="C2494" s="29"/>
      <c r="D2494" s="29"/>
      <c r="E2494" s="29"/>
      <c r="F2494" s="29"/>
      <c r="G2494" s="29"/>
    </row>
    <row r="2495" spans="1:7" x14ac:dyDescent="0.25">
      <c r="A2495" s="30" t="s">
        <v>3134</v>
      </c>
      <c r="B2495" s="30" t="s">
        <v>2608</v>
      </c>
      <c r="C2495" s="31">
        <v>0</v>
      </c>
      <c r="D2495" s="31">
        <v>0</v>
      </c>
      <c r="E2495" s="31">
        <v>0</v>
      </c>
      <c r="F2495" s="31">
        <v>0</v>
      </c>
      <c r="G2495" s="29"/>
    </row>
    <row r="2496" spans="1:7" x14ac:dyDescent="0.25">
      <c r="A2496" s="30" t="s">
        <v>3135</v>
      </c>
      <c r="B2496" s="30" t="s">
        <v>3136</v>
      </c>
      <c r="C2496" s="31">
        <v>2977.29</v>
      </c>
      <c r="D2496" s="31">
        <v>0</v>
      </c>
      <c r="E2496" s="31">
        <v>0</v>
      </c>
      <c r="F2496" s="31">
        <v>0</v>
      </c>
      <c r="G2496" s="29"/>
    </row>
    <row r="2497" spans="1:7" x14ac:dyDescent="0.25">
      <c r="A2497" s="23" t="s">
        <v>2174</v>
      </c>
      <c r="B2497" s="23" t="s">
        <v>2</v>
      </c>
      <c r="C2497" s="32">
        <v>2977.29</v>
      </c>
      <c r="D2497" s="32">
        <v>0</v>
      </c>
      <c r="E2497" s="32">
        <f>SUM(E2495:E2496)</f>
        <v>0</v>
      </c>
      <c r="F2497" s="32">
        <f>SUM(F2495:F2496)</f>
        <v>0</v>
      </c>
      <c r="G2497" s="29"/>
    </row>
    <row r="2498" spans="1:7" x14ac:dyDescent="0.25">
      <c r="A2498" s="23" t="s">
        <v>2</v>
      </c>
      <c r="B2498" s="23" t="s">
        <v>2</v>
      </c>
      <c r="C2498" s="23" t="s">
        <v>2</v>
      </c>
      <c r="D2498" s="23" t="s">
        <v>2</v>
      </c>
      <c r="E2498" s="23" t="s">
        <v>2</v>
      </c>
      <c r="F2498" s="23" t="s">
        <v>2</v>
      </c>
      <c r="G2498" s="29"/>
    </row>
    <row r="2499" spans="1:7" x14ac:dyDescent="0.25">
      <c r="A2499" s="30" t="s">
        <v>3137</v>
      </c>
      <c r="B2499" s="30" t="s">
        <v>3138</v>
      </c>
      <c r="C2499" s="31">
        <v>270248.07</v>
      </c>
      <c r="D2499" s="31">
        <v>223423.62</v>
      </c>
      <c r="E2499" s="31">
        <v>223423.62</v>
      </c>
      <c r="F2499" s="31">
        <v>0</v>
      </c>
      <c r="G2499" s="29"/>
    </row>
    <row r="2500" spans="1:7" x14ac:dyDescent="0.25">
      <c r="A2500" s="30"/>
      <c r="B2500" s="30"/>
      <c r="C2500" s="31"/>
      <c r="D2500" s="31"/>
      <c r="E2500" s="31"/>
      <c r="F2500" s="31"/>
      <c r="G2500" s="29"/>
    </row>
    <row r="2501" spans="1:7" x14ac:dyDescent="0.25">
      <c r="A2501" s="23" t="s">
        <v>2176</v>
      </c>
      <c r="B2501" s="23" t="s">
        <v>2</v>
      </c>
      <c r="C2501" s="29"/>
      <c r="D2501" s="29"/>
      <c r="E2501" s="29"/>
      <c r="F2501" s="29"/>
      <c r="G2501" s="29"/>
    </row>
    <row r="2502" spans="1:7" x14ac:dyDescent="0.25">
      <c r="A2502" s="30" t="s">
        <v>3139</v>
      </c>
      <c r="B2502" s="30" t="s">
        <v>2409</v>
      </c>
      <c r="C2502" s="31">
        <v>0</v>
      </c>
      <c r="D2502" s="31">
        <v>0</v>
      </c>
      <c r="E2502" s="31">
        <v>0</v>
      </c>
      <c r="F2502" s="31">
        <v>0</v>
      </c>
      <c r="G2502" s="29"/>
    </row>
    <row r="2503" spans="1:7" x14ac:dyDescent="0.25">
      <c r="A2503" s="23" t="s">
        <v>2179</v>
      </c>
      <c r="B2503" s="23" t="s">
        <v>2</v>
      </c>
      <c r="C2503" s="32">
        <v>0</v>
      </c>
      <c r="D2503" s="32">
        <v>0</v>
      </c>
      <c r="E2503" s="32">
        <f>SUM(E2502)</f>
        <v>0</v>
      </c>
      <c r="F2503" s="32">
        <f>SUM(F2502)</f>
        <v>0</v>
      </c>
      <c r="G2503" s="29"/>
    </row>
    <row r="2504" spans="1:7" x14ac:dyDescent="0.25">
      <c r="A2504" s="23" t="s">
        <v>2</v>
      </c>
      <c r="B2504" s="23" t="s">
        <v>2</v>
      </c>
      <c r="C2504" s="23" t="s">
        <v>2</v>
      </c>
      <c r="D2504" s="23" t="s">
        <v>2</v>
      </c>
      <c r="E2504" s="23" t="s">
        <v>2</v>
      </c>
      <c r="F2504" s="23" t="s">
        <v>2</v>
      </c>
      <c r="G2504" s="29"/>
    </row>
    <row r="2505" spans="1:7" x14ac:dyDescent="0.25">
      <c r="A2505" s="23" t="s">
        <v>3140</v>
      </c>
      <c r="B2505" s="23" t="s">
        <v>2</v>
      </c>
      <c r="C2505" s="29"/>
      <c r="D2505" s="29"/>
      <c r="E2505" s="29"/>
      <c r="F2505" s="29"/>
      <c r="G2505" s="29"/>
    </row>
    <row r="2506" spans="1:7" x14ac:dyDescent="0.25">
      <c r="A2506" s="30" t="s">
        <v>3141</v>
      </c>
      <c r="B2506" s="30" t="s">
        <v>3138</v>
      </c>
      <c r="C2506" s="31">
        <v>0</v>
      </c>
      <c r="D2506" s="31">
        <v>0</v>
      </c>
      <c r="E2506" s="31">
        <v>0</v>
      </c>
      <c r="F2506" s="31">
        <v>0</v>
      </c>
      <c r="G2506" s="29"/>
    </row>
    <row r="2507" spans="1:7" x14ac:dyDescent="0.25">
      <c r="A2507" s="23" t="s">
        <v>3142</v>
      </c>
      <c r="B2507" s="23" t="s">
        <v>2</v>
      </c>
      <c r="C2507" s="32">
        <v>0</v>
      </c>
      <c r="D2507" s="32">
        <v>0</v>
      </c>
      <c r="E2507" s="32">
        <f>SUM(E2506)</f>
        <v>0</v>
      </c>
      <c r="F2507" s="32">
        <f>SUM(F2506)</f>
        <v>0</v>
      </c>
      <c r="G2507" s="29"/>
    </row>
    <row r="2508" spans="1:7" x14ac:dyDescent="0.25">
      <c r="A2508" s="23" t="s">
        <v>2</v>
      </c>
      <c r="B2508" s="23" t="s">
        <v>2</v>
      </c>
      <c r="C2508" s="23" t="s">
        <v>2</v>
      </c>
      <c r="D2508" s="23" t="s">
        <v>2</v>
      </c>
      <c r="E2508" s="23" t="s">
        <v>2</v>
      </c>
      <c r="F2508" s="23" t="s">
        <v>2</v>
      </c>
      <c r="G2508" s="29"/>
    </row>
    <row r="2509" spans="1:7" x14ac:dyDescent="0.25">
      <c r="A2509" s="23" t="s">
        <v>2724</v>
      </c>
      <c r="B2509" s="23" t="s">
        <v>2</v>
      </c>
      <c r="C2509" s="29"/>
      <c r="D2509" s="29"/>
      <c r="E2509" s="29"/>
      <c r="F2509" s="29"/>
      <c r="G2509" s="29"/>
    </row>
    <row r="2510" spans="1:7" x14ac:dyDescent="0.25">
      <c r="A2510" s="30" t="s">
        <v>3143</v>
      </c>
      <c r="B2510" s="30" t="s">
        <v>3144</v>
      </c>
      <c r="C2510" s="31">
        <v>0</v>
      </c>
      <c r="D2510" s="31">
        <v>0</v>
      </c>
      <c r="E2510" s="31">
        <v>20000</v>
      </c>
      <c r="F2510" s="31">
        <v>0</v>
      </c>
      <c r="G2510" s="29"/>
    </row>
    <row r="2511" spans="1:7" x14ac:dyDescent="0.25">
      <c r="A2511" s="30" t="s">
        <v>3145</v>
      </c>
      <c r="B2511" s="30" t="s">
        <v>3146</v>
      </c>
      <c r="C2511" s="31">
        <v>0</v>
      </c>
      <c r="D2511" s="31">
        <v>0</v>
      </c>
      <c r="E2511" s="31">
        <v>100000</v>
      </c>
      <c r="F2511" s="31">
        <v>0</v>
      </c>
      <c r="G2511" s="29"/>
    </row>
    <row r="2512" spans="1:7" x14ac:dyDescent="0.25">
      <c r="A2512" s="23" t="s">
        <v>2725</v>
      </c>
      <c r="B2512" s="23" t="s">
        <v>2</v>
      </c>
      <c r="C2512" s="32">
        <v>0</v>
      </c>
      <c r="D2512" s="32">
        <v>0</v>
      </c>
      <c r="E2512" s="32">
        <f>SUM(E2510:E2511)</f>
        <v>120000</v>
      </c>
      <c r="F2512" s="32">
        <f>SUM(F2510:F2511)</f>
        <v>0</v>
      </c>
      <c r="G2512" s="29"/>
    </row>
    <row r="2513" spans="1:7" x14ac:dyDescent="0.25">
      <c r="A2513" s="23" t="s">
        <v>2</v>
      </c>
      <c r="B2513" s="23" t="s">
        <v>2</v>
      </c>
      <c r="C2513" s="23" t="s">
        <v>2</v>
      </c>
      <c r="D2513" s="23" t="s">
        <v>2</v>
      </c>
      <c r="E2513" s="23" t="s">
        <v>2</v>
      </c>
      <c r="F2513" s="23" t="s">
        <v>2</v>
      </c>
      <c r="G2513" s="29"/>
    </row>
    <row r="2514" spans="1:7" x14ac:dyDescent="0.25">
      <c r="A2514" s="23" t="s">
        <v>1897</v>
      </c>
      <c r="B2514" s="23" t="s">
        <v>2</v>
      </c>
      <c r="C2514" s="32">
        <v>273225.36</v>
      </c>
      <c r="D2514" s="32">
        <v>223423.62</v>
      </c>
      <c r="E2514" s="32">
        <f>E2497+E2499+E2503+E2507+E2512</f>
        <v>343423.62</v>
      </c>
      <c r="F2514" s="32">
        <f>F2497+F2499+F2503+F2507+F2512</f>
        <v>0</v>
      </c>
      <c r="G2514" s="29"/>
    </row>
    <row r="2515" spans="1:7" x14ac:dyDescent="0.25">
      <c r="A2515" s="1" t="s">
        <v>740</v>
      </c>
      <c r="B2515" s="1" t="s">
        <v>2</v>
      </c>
    </row>
    <row r="2516" spans="1:7" ht="15" customHeight="1" x14ac:dyDescent="0.25">
      <c r="A2516" s="1" t="s">
        <v>41</v>
      </c>
      <c r="B2516" s="1" t="s">
        <v>2</v>
      </c>
      <c r="C2516" s="40"/>
      <c r="E2516" s="40"/>
    </row>
    <row r="2517" spans="1:7" ht="15" customHeight="1" x14ac:dyDescent="0.25">
      <c r="A2517" s="1" t="s">
        <v>1878</v>
      </c>
      <c r="B2517" s="1" t="s">
        <v>2</v>
      </c>
    </row>
    <row r="2518" spans="1:7" ht="15" customHeight="1" x14ac:dyDescent="0.25">
      <c r="A2518" s="2" t="s">
        <v>1879</v>
      </c>
      <c r="B2518" s="2" t="s">
        <v>905</v>
      </c>
      <c r="C2518" s="3">
        <v>8055.64</v>
      </c>
      <c r="D2518" s="3">
        <v>468.92</v>
      </c>
      <c r="E2518" s="3">
        <v>6000</v>
      </c>
      <c r="F2518" s="5">
        <v>0</v>
      </c>
    </row>
    <row r="2519" spans="1:7" x14ac:dyDescent="0.25">
      <c r="A2519" s="2" t="s">
        <v>1880</v>
      </c>
      <c r="B2519" s="2" t="s">
        <v>1881</v>
      </c>
      <c r="C2519" s="3">
        <v>5823.1</v>
      </c>
      <c r="D2519" s="3">
        <v>38356.019999999997</v>
      </c>
      <c r="E2519" s="3">
        <v>51500</v>
      </c>
      <c r="F2519" s="5">
        <v>0</v>
      </c>
    </row>
    <row r="2520" spans="1:7" ht="15" customHeight="1" x14ac:dyDescent="0.25">
      <c r="A2520" s="2" t="s">
        <v>1882</v>
      </c>
      <c r="B2520" s="2" t="s">
        <v>1883</v>
      </c>
      <c r="C2520" s="3">
        <v>5592.78</v>
      </c>
      <c r="D2520" s="3">
        <v>1535.8</v>
      </c>
      <c r="E2520" s="3">
        <v>11000</v>
      </c>
      <c r="F2520" s="5">
        <v>0</v>
      </c>
    </row>
    <row r="2521" spans="1:7" ht="15" customHeight="1" x14ac:dyDescent="0.25">
      <c r="A2521" s="2" t="s">
        <v>1884</v>
      </c>
      <c r="B2521" s="2" t="s">
        <v>1885</v>
      </c>
      <c r="C2521" s="3">
        <v>26937.82</v>
      </c>
      <c r="D2521" s="3">
        <v>11710.95</v>
      </c>
      <c r="E2521" s="3">
        <v>25000</v>
      </c>
      <c r="F2521" s="5">
        <v>0</v>
      </c>
    </row>
    <row r="2522" spans="1:7" ht="15" customHeight="1" x14ac:dyDescent="0.25">
      <c r="A2522" s="2" t="s">
        <v>1886</v>
      </c>
      <c r="B2522" s="2" t="s">
        <v>1887</v>
      </c>
      <c r="C2522" s="3">
        <v>52804.55</v>
      </c>
      <c r="D2522" s="3">
        <v>22956.79</v>
      </c>
      <c r="E2522" s="3">
        <v>65000</v>
      </c>
      <c r="F2522" s="5">
        <v>0</v>
      </c>
    </row>
    <row r="2523" spans="1:7" ht="15" customHeight="1" x14ac:dyDescent="0.25">
      <c r="A2523" s="2" t="s">
        <v>1888</v>
      </c>
      <c r="B2523" s="2" t="s">
        <v>1889</v>
      </c>
      <c r="C2523" s="3">
        <v>158811.59</v>
      </c>
      <c r="D2523" s="3">
        <v>38381.839999999997</v>
      </c>
      <c r="E2523" s="3">
        <v>125000</v>
      </c>
      <c r="F2523" s="5">
        <v>0</v>
      </c>
    </row>
    <row r="2524" spans="1:7" ht="15" customHeight="1" x14ac:dyDescent="0.25">
      <c r="A2524" s="2" t="s">
        <v>1890</v>
      </c>
      <c r="B2524" s="2" t="s">
        <v>1891</v>
      </c>
      <c r="C2524" s="3">
        <v>0</v>
      </c>
      <c r="D2524" s="3">
        <v>0</v>
      </c>
      <c r="E2524" s="3">
        <v>0</v>
      </c>
      <c r="F2524" s="5">
        <v>0</v>
      </c>
    </row>
    <row r="2525" spans="1:7" ht="24" x14ac:dyDescent="0.25">
      <c r="A2525" s="2" t="s">
        <v>1892</v>
      </c>
      <c r="B2525" s="2" t="s">
        <v>1893</v>
      </c>
      <c r="C2525" s="3">
        <v>0</v>
      </c>
      <c r="D2525" s="3">
        <v>0</v>
      </c>
      <c r="E2525" s="3">
        <v>0</v>
      </c>
      <c r="F2525" s="5">
        <v>0</v>
      </c>
    </row>
    <row r="2526" spans="1:7" ht="15" customHeight="1" x14ac:dyDescent="0.25">
      <c r="A2526" s="1" t="s">
        <v>1894</v>
      </c>
      <c r="B2526" s="1" t="s">
        <v>2</v>
      </c>
      <c r="C2526" s="4">
        <v>258025.48</v>
      </c>
      <c r="D2526" s="4">
        <v>113410.32</v>
      </c>
      <c r="E2526" s="6">
        <f>SUM(E2518:E2525)</f>
        <v>283500</v>
      </c>
      <c r="F2526" s="6">
        <f>SUM(F2518:F2525)</f>
        <v>0</v>
      </c>
    </row>
    <row r="2527" spans="1:7" x14ac:dyDescent="0.25">
      <c r="A2527" s="1" t="s">
        <v>2</v>
      </c>
      <c r="B2527" s="1" t="s">
        <v>2</v>
      </c>
      <c r="C2527" s="1" t="s">
        <v>2</v>
      </c>
      <c r="D2527" s="1" t="s">
        <v>2</v>
      </c>
      <c r="E2527" s="1" t="s">
        <v>2</v>
      </c>
      <c r="F2527" s="1" t="s">
        <v>2</v>
      </c>
    </row>
    <row r="2528" spans="1:7" ht="15" customHeight="1" x14ac:dyDescent="0.25">
      <c r="A2528" s="1" t="s">
        <v>557</v>
      </c>
      <c r="B2528" s="1" t="s">
        <v>2</v>
      </c>
    </row>
    <row r="2529" spans="1:7" ht="15" customHeight="1" x14ac:dyDescent="0.25">
      <c r="A2529" s="2" t="s">
        <v>1895</v>
      </c>
      <c r="B2529" s="2" t="s">
        <v>1896</v>
      </c>
      <c r="C2529" s="3">
        <v>12222.59</v>
      </c>
      <c r="D2529" s="3">
        <v>12503.29</v>
      </c>
      <c r="E2529" s="3">
        <v>125000</v>
      </c>
      <c r="F2529" s="5">
        <v>0</v>
      </c>
    </row>
    <row r="2530" spans="1:7" ht="15" customHeight="1" x14ac:dyDescent="0.25">
      <c r="A2530" s="1" t="s">
        <v>560</v>
      </c>
      <c r="B2530" s="1" t="s">
        <v>2</v>
      </c>
      <c r="C2530" s="4">
        <v>12222.59</v>
      </c>
      <c r="D2530" s="4">
        <v>12503.29</v>
      </c>
      <c r="E2530" s="6">
        <f>SUM(E2529)</f>
        <v>125000</v>
      </c>
      <c r="F2530" s="6">
        <f>SUM(F2529)</f>
        <v>0</v>
      </c>
    </row>
    <row r="2531" spans="1:7" x14ac:dyDescent="0.25">
      <c r="A2531" s="1" t="s">
        <v>2</v>
      </c>
      <c r="B2531" s="1" t="s">
        <v>2</v>
      </c>
      <c r="C2531" s="1" t="s">
        <v>2</v>
      </c>
      <c r="D2531" s="1" t="s">
        <v>2</v>
      </c>
      <c r="E2531" s="1" t="s">
        <v>2</v>
      </c>
      <c r="F2531" s="1" t="s">
        <v>2</v>
      </c>
    </row>
    <row r="2532" spans="1:7" ht="15" customHeight="1" x14ac:dyDescent="0.25">
      <c r="A2532" s="1" t="s">
        <v>1897</v>
      </c>
      <c r="B2532" s="1" t="s">
        <v>2</v>
      </c>
      <c r="C2532" s="4">
        <v>270248.07</v>
      </c>
      <c r="D2532" s="4">
        <v>125913.61</v>
      </c>
      <c r="E2532" s="6">
        <f>E2530+E2526</f>
        <v>408500</v>
      </c>
      <c r="F2532" s="6">
        <f>F2530+F2526</f>
        <v>0</v>
      </c>
    </row>
    <row r="2533" spans="1:7" ht="15" customHeight="1" x14ac:dyDescent="0.25">
      <c r="A2533" s="25" t="s">
        <v>3147</v>
      </c>
      <c r="B2533" s="25"/>
      <c r="C2533" s="33">
        <f>C2491+C2514-C2532</f>
        <v>100143.51999999996</v>
      </c>
      <c r="D2533" s="33">
        <f t="shared" ref="D2533:F2533" si="37">D2491+D2514-D2532</f>
        <v>197653.53000000003</v>
      </c>
      <c r="E2533" s="33">
        <f t="shared" si="37"/>
        <v>35067.140000000014</v>
      </c>
      <c r="F2533" s="33">
        <f t="shared" si="37"/>
        <v>35067.140000000014</v>
      </c>
      <c r="G2533" s="25"/>
    </row>
    <row r="2534" spans="1:7" x14ac:dyDescent="0.25">
      <c r="A2534" s="1" t="s">
        <v>2</v>
      </c>
      <c r="B2534" s="1" t="s">
        <v>2</v>
      </c>
      <c r="C2534" s="36"/>
      <c r="D2534" s="1" t="s">
        <v>2</v>
      </c>
      <c r="E2534" s="36"/>
      <c r="F2534" s="1" t="s">
        <v>2</v>
      </c>
    </row>
    <row r="2535" spans="1:7" ht="15" customHeight="1" x14ac:dyDescent="0.25">
      <c r="A2535" s="27" t="s">
        <v>3148</v>
      </c>
      <c r="B2535" s="27"/>
      <c r="C2535" s="28">
        <v>265421.19</v>
      </c>
      <c r="D2535" s="28">
        <v>306422.27</v>
      </c>
      <c r="E2535" s="28">
        <v>306422.27</v>
      </c>
      <c r="F2535" s="28">
        <f>E2646</f>
        <v>161165.43999999994</v>
      </c>
      <c r="G2535" s="27"/>
    </row>
    <row r="2536" spans="1:7" x14ac:dyDescent="0.25">
      <c r="A2536" s="23" t="s">
        <v>1898</v>
      </c>
      <c r="B2536" s="23" t="s">
        <v>2</v>
      </c>
      <c r="C2536" s="29"/>
      <c r="D2536" s="29"/>
      <c r="E2536" s="29"/>
      <c r="F2536" s="29"/>
      <c r="G2536" s="29"/>
    </row>
    <row r="2537" spans="1:7" x14ac:dyDescent="0.25">
      <c r="A2537" s="23" t="s">
        <v>2026</v>
      </c>
      <c r="B2537" s="23" t="s">
        <v>2</v>
      </c>
      <c r="C2537" s="29"/>
      <c r="D2537" s="29"/>
      <c r="E2537" s="29"/>
      <c r="F2537" s="29"/>
      <c r="G2537" s="29"/>
    </row>
    <row r="2538" spans="1:7" x14ac:dyDescent="0.25">
      <c r="A2538" s="30" t="s">
        <v>3149</v>
      </c>
      <c r="B2538" s="30" t="s">
        <v>2608</v>
      </c>
      <c r="C2538" s="31">
        <v>0</v>
      </c>
      <c r="D2538" s="31">
        <v>0</v>
      </c>
      <c r="E2538" s="31">
        <v>0</v>
      </c>
      <c r="F2538" s="31">
        <v>0</v>
      </c>
      <c r="G2538" s="29"/>
    </row>
    <row r="2539" spans="1:7" x14ac:dyDescent="0.25">
      <c r="A2539" s="30" t="s">
        <v>3150</v>
      </c>
      <c r="B2539" s="30" t="s">
        <v>2123</v>
      </c>
      <c r="C2539" s="31">
        <v>196.49</v>
      </c>
      <c r="D2539" s="31">
        <v>0</v>
      </c>
      <c r="E2539" s="31">
        <v>0</v>
      </c>
      <c r="F2539" s="31">
        <v>0</v>
      </c>
      <c r="G2539" s="29"/>
    </row>
    <row r="2540" spans="1:7" x14ac:dyDescent="0.25">
      <c r="A2540" s="30" t="s">
        <v>3151</v>
      </c>
      <c r="B2540" s="30" t="s">
        <v>3152</v>
      </c>
      <c r="C2540" s="31">
        <v>717045.31</v>
      </c>
      <c r="D2540" s="31">
        <v>627809.46</v>
      </c>
      <c r="E2540" s="31">
        <v>627809.46</v>
      </c>
      <c r="F2540" s="31">
        <v>0</v>
      </c>
      <c r="G2540" s="29"/>
    </row>
    <row r="2541" spans="1:7" x14ac:dyDescent="0.25">
      <c r="A2541" s="30"/>
      <c r="B2541" s="30"/>
      <c r="C2541" s="31"/>
      <c r="D2541" s="31"/>
      <c r="E2541" s="31"/>
      <c r="F2541" s="31"/>
      <c r="G2541" s="29"/>
    </row>
    <row r="2542" spans="1:7" x14ac:dyDescent="0.25">
      <c r="A2542" s="23" t="s">
        <v>2175</v>
      </c>
      <c r="B2542" s="23" t="s">
        <v>2</v>
      </c>
      <c r="C2542" s="29"/>
      <c r="D2542" s="29"/>
      <c r="E2542" s="29"/>
      <c r="F2542" s="29"/>
      <c r="G2542" s="29"/>
    </row>
    <row r="2543" spans="1:7" x14ac:dyDescent="0.25">
      <c r="A2543" s="23" t="s">
        <v>2176</v>
      </c>
      <c r="B2543" s="23" t="s">
        <v>2</v>
      </c>
      <c r="C2543" s="29"/>
      <c r="D2543" s="29"/>
      <c r="E2543" s="29"/>
      <c r="F2543" s="29"/>
      <c r="G2543" s="29"/>
    </row>
    <row r="2544" spans="1:7" x14ac:dyDescent="0.25">
      <c r="A2544" s="30" t="s">
        <v>3153</v>
      </c>
      <c r="B2544" s="30" t="s">
        <v>2409</v>
      </c>
      <c r="C2544" s="31">
        <v>39.229999999999997</v>
      </c>
      <c r="D2544" s="31">
        <v>27.38</v>
      </c>
      <c r="E2544" s="31">
        <v>0</v>
      </c>
      <c r="F2544" s="31">
        <v>0</v>
      </c>
      <c r="G2544" s="29"/>
    </row>
    <row r="2545" spans="1:7" x14ac:dyDescent="0.25">
      <c r="A2545" s="30" t="s">
        <v>3154</v>
      </c>
      <c r="B2545" s="30" t="s">
        <v>2703</v>
      </c>
      <c r="C2545" s="31">
        <v>0</v>
      </c>
      <c r="D2545" s="31">
        <v>0</v>
      </c>
      <c r="E2545" s="31">
        <v>0</v>
      </c>
      <c r="F2545" s="31">
        <v>0</v>
      </c>
      <c r="G2545" s="29"/>
    </row>
    <row r="2546" spans="1:7" x14ac:dyDescent="0.25">
      <c r="A2546" s="23" t="s">
        <v>2179</v>
      </c>
      <c r="B2546" s="23" t="s">
        <v>2</v>
      </c>
      <c r="C2546" s="32">
        <v>39.229999999999997</v>
      </c>
      <c r="D2546" s="32">
        <v>27.38</v>
      </c>
      <c r="E2546" s="32">
        <f>SUM(E2544:E2545)</f>
        <v>0</v>
      </c>
      <c r="F2546" s="32">
        <f>SUM(F2544:F2545)</f>
        <v>0</v>
      </c>
      <c r="G2546" s="29"/>
    </row>
    <row r="2547" spans="1:7" x14ac:dyDescent="0.25">
      <c r="A2547" s="23" t="s">
        <v>2</v>
      </c>
      <c r="B2547" s="23" t="s">
        <v>2</v>
      </c>
      <c r="C2547" s="23" t="s">
        <v>2</v>
      </c>
      <c r="D2547" s="23" t="s">
        <v>2</v>
      </c>
      <c r="E2547" s="23" t="s">
        <v>2</v>
      </c>
      <c r="F2547" s="23" t="s">
        <v>2</v>
      </c>
      <c r="G2547" s="29"/>
    </row>
    <row r="2548" spans="1:7" x14ac:dyDescent="0.25">
      <c r="A2548" s="23" t="s">
        <v>2581</v>
      </c>
      <c r="B2548" s="23" t="s">
        <v>2</v>
      </c>
      <c r="C2548" s="29"/>
      <c r="D2548" s="29"/>
      <c r="E2548" s="29"/>
      <c r="F2548" s="29"/>
      <c r="G2548" s="29"/>
    </row>
    <row r="2549" spans="1:7" x14ac:dyDescent="0.25">
      <c r="A2549" s="30" t="s">
        <v>3155</v>
      </c>
      <c r="B2549" s="30" t="s">
        <v>3156</v>
      </c>
      <c r="C2549" s="31">
        <v>20229</v>
      </c>
      <c r="D2549" s="31">
        <v>26928</v>
      </c>
      <c r="E2549" s="31">
        <v>0</v>
      </c>
      <c r="F2549" s="31">
        <v>0</v>
      </c>
      <c r="G2549" s="29"/>
    </row>
    <row r="2550" spans="1:7" x14ac:dyDescent="0.25">
      <c r="A2550" s="30" t="s">
        <v>3157</v>
      </c>
      <c r="B2550" s="30" t="s">
        <v>3158</v>
      </c>
      <c r="C2550" s="31">
        <v>1142.8399999999999</v>
      </c>
      <c r="D2550" s="31">
        <v>0</v>
      </c>
      <c r="E2550" s="31">
        <v>0</v>
      </c>
      <c r="F2550" s="31">
        <v>0</v>
      </c>
      <c r="G2550" s="29"/>
    </row>
    <row r="2551" spans="1:7" x14ac:dyDescent="0.25">
      <c r="A2551" s="23" t="s">
        <v>2585</v>
      </c>
      <c r="B2551" s="23" t="s">
        <v>2</v>
      </c>
      <c r="C2551" s="32">
        <v>21371.84</v>
      </c>
      <c r="D2551" s="32">
        <v>26928</v>
      </c>
      <c r="E2551" s="32">
        <f>SUM(E2549:E2550)</f>
        <v>0</v>
      </c>
      <c r="F2551" s="32">
        <f>SUM(F2549:F2550)</f>
        <v>0</v>
      </c>
      <c r="G2551" s="29"/>
    </row>
    <row r="2552" spans="1:7" x14ac:dyDescent="0.25">
      <c r="A2552" s="23" t="s">
        <v>2</v>
      </c>
      <c r="B2552" s="23" t="s">
        <v>2</v>
      </c>
      <c r="C2552" s="23" t="s">
        <v>2</v>
      </c>
      <c r="D2552" s="23" t="s">
        <v>2</v>
      </c>
      <c r="E2552" s="23" t="s">
        <v>2</v>
      </c>
      <c r="F2552" s="23" t="s">
        <v>2</v>
      </c>
      <c r="G2552" s="29"/>
    </row>
    <row r="2553" spans="1:7" x14ac:dyDescent="0.25">
      <c r="A2553" s="23" t="s">
        <v>2180</v>
      </c>
      <c r="B2553" s="23" t="s">
        <v>2</v>
      </c>
      <c r="C2553" s="32">
        <v>21411.07</v>
      </c>
      <c r="D2553" s="32">
        <v>26955.38</v>
      </c>
      <c r="E2553" s="32">
        <f>E2551+E2546</f>
        <v>0</v>
      </c>
      <c r="F2553" s="32">
        <f>F2551+F2546</f>
        <v>0</v>
      </c>
      <c r="G2553" s="29"/>
    </row>
    <row r="2554" spans="1:7" x14ac:dyDescent="0.25">
      <c r="A2554" s="23" t="s">
        <v>2</v>
      </c>
      <c r="B2554" s="23" t="s">
        <v>2</v>
      </c>
      <c r="C2554" s="23" t="s">
        <v>2</v>
      </c>
      <c r="D2554" s="23" t="s">
        <v>2</v>
      </c>
      <c r="E2554" s="23" t="s">
        <v>2</v>
      </c>
      <c r="F2554" s="23" t="s">
        <v>2</v>
      </c>
      <c r="G2554" s="29"/>
    </row>
    <row r="2555" spans="1:7" x14ac:dyDescent="0.25">
      <c r="A2555" s="23" t="s">
        <v>2532</v>
      </c>
      <c r="B2555" s="23" t="s">
        <v>2</v>
      </c>
      <c r="C2555" s="29"/>
      <c r="D2555" s="29"/>
      <c r="E2555" s="29"/>
      <c r="F2555" s="29"/>
      <c r="G2555" s="29"/>
    </row>
    <row r="2556" spans="1:7" x14ac:dyDescent="0.25">
      <c r="A2556" s="30" t="s">
        <v>3159</v>
      </c>
      <c r="B2556" s="30" t="s">
        <v>3160</v>
      </c>
      <c r="C2556" s="31">
        <v>0</v>
      </c>
      <c r="D2556" s="31">
        <v>0</v>
      </c>
      <c r="E2556" s="31">
        <v>0</v>
      </c>
      <c r="F2556" s="31">
        <v>0</v>
      </c>
      <c r="G2556" s="29"/>
    </row>
    <row r="2557" spans="1:7" x14ac:dyDescent="0.25">
      <c r="A2557" s="23" t="s">
        <v>2537</v>
      </c>
      <c r="B2557" s="23" t="s">
        <v>2</v>
      </c>
      <c r="C2557" s="32">
        <v>0</v>
      </c>
      <c r="D2557" s="32">
        <v>0</v>
      </c>
      <c r="E2557" s="32">
        <f>SUM(E2556)</f>
        <v>0</v>
      </c>
      <c r="F2557" s="32">
        <f>SUM(F2556)</f>
        <v>0</v>
      </c>
      <c r="G2557" s="29"/>
    </row>
    <row r="2558" spans="1:7" x14ac:dyDescent="0.25">
      <c r="A2558" s="23" t="s">
        <v>2</v>
      </c>
      <c r="B2558" s="23" t="s">
        <v>2</v>
      </c>
      <c r="C2558" s="23" t="s">
        <v>2</v>
      </c>
      <c r="D2558" s="23" t="s">
        <v>2</v>
      </c>
      <c r="E2558" s="23" t="s">
        <v>2</v>
      </c>
      <c r="F2558" s="23" t="s">
        <v>2</v>
      </c>
      <c r="G2558" s="29"/>
    </row>
    <row r="2559" spans="1:7" x14ac:dyDescent="0.25">
      <c r="A2559" s="23" t="s">
        <v>2553</v>
      </c>
      <c r="B2559" s="23" t="s">
        <v>2</v>
      </c>
      <c r="C2559" s="29"/>
      <c r="D2559" s="29"/>
      <c r="E2559" s="29"/>
      <c r="F2559" s="29"/>
      <c r="G2559" s="29"/>
    </row>
    <row r="2560" spans="1:7" x14ac:dyDescent="0.25">
      <c r="A2560" s="23"/>
      <c r="B2560" s="23"/>
      <c r="C2560" s="29"/>
      <c r="D2560" s="29"/>
      <c r="E2560" s="29"/>
      <c r="F2560" s="29"/>
      <c r="G2560" s="29"/>
    </row>
    <row r="2561" spans="1:11" x14ac:dyDescent="0.25">
      <c r="A2561" s="30" t="s">
        <v>3161</v>
      </c>
      <c r="B2561" s="30" t="s">
        <v>3162</v>
      </c>
      <c r="C2561" s="31">
        <v>0</v>
      </c>
      <c r="D2561" s="31">
        <v>0</v>
      </c>
      <c r="E2561" s="31">
        <v>0</v>
      </c>
      <c r="F2561" s="31">
        <v>0</v>
      </c>
      <c r="G2561" s="29"/>
    </row>
    <row r="2562" spans="1:11" x14ac:dyDescent="0.25">
      <c r="A2562" s="30"/>
      <c r="B2562" s="30"/>
      <c r="C2562" s="31"/>
      <c r="D2562" s="31"/>
      <c r="E2562" s="31"/>
      <c r="F2562" s="31"/>
      <c r="G2562" s="29"/>
    </row>
    <row r="2563" spans="1:11" x14ac:dyDescent="0.25">
      <c r="A2563" s="23" t="s">
        <v>2666</v>
      </c>
      <c r="B2563" s="23" t="s">
        <v>2</v>
      </c>
      <c r="C2563" s="29"/>
      <c r="D2563" s="29"/>
      <c r="E2563" s="29"/>
      <c r="F2563" s="29"/>
      <c r="G2563" s="29"/>
    </row>
    <row r="2564" spans="1:11" x14ac:dyDescent="0.25">
      <c r="A2564" s="30" t="s">
        <v>3163</v>
      </c>
      <c r="B2564" s="30" t="s">
        <v>3013</v>
      </c>
      <c r="C2564" s="31">
        <v>17935.5</v>
      </c>
      <c r="D2564" s="31">
        <v>0</v>
      </c>
      <c r="E2564" s="31">
        <v>0</v>
      </c>
      <c r="F2564" s="31">
        <v>0</v>
      </c>
      <c r="G2564" s="29"/>
    </row>
    <row r="2565" spans="1:11" x14ac:dyDescent="0.25">
      <c r="A2565" s="30" t="s">
        <v>3164</v>
      </c>
      <c r="B2565" s="30" t="s">
        <v>2669</v>
      </c>
      <c r="C2565" s="31">
        <v>1582.21</v>
      </c>
      <c r="D2565" s="31">
        <v>13287.73</v>
      </c>
      <c r="E2565" s="31">
        <v>0</v>
      </c>
      <c r="F2565" s="31">
        <v>0</v>
      </c>
      <c r="G2565" s="29"/>
    </row>
    <row r="2566" spans="1:11" x14ac:dyDescent="0.25">
      <c r="A2566" s="23" t="s">
        <v>3165</v>
      </c>
      <c r="B2566" s="23" t="s">
        <v>2</v>
      </c>
      <c r="C2566" s="32">
        <v>19517.71</v>
      </c>
      <c r="D2566" s="32">
        <v>13287.73</v>
      </c>
      <c r="E2566" s="32">
        <f>SUM(E2564:E2565)</f>
        <v>0</v>
      </c>
      <c r="F2566" s="32">
        <f>SUM(F2564:F2565)</f>
        <v>0</v>
      </c>
      <c r="G2566" s="29"/>
    </row>
    <row r="2567" spans="1:11" x14ac:dyDescent="0.25">
      <c r="A2567" s="23" t="s">
        <v>2</v>
      </c>
      <c r="B2567" s="23" t="s">
        <v>2</v>
      </c>
      <c r="C2567" s="23" t="s">
        <v>2</v>
      </c>
      <c r="D2567" s="23" t="s">
        <v>2</v>
      </c>
      <c r="E2567" s="23" t="s">
        <v>2</v>
      </c>
      <c r="F2567" s="23" t="s">
        <v>2</v>
      </c>
      <c r="G2567" s="29"/>
    </row>
    <row r="2568" spans="1:11" x14ac:dyDescent="0.25">
      <c r="A2568" s="23" t="s">
        <v>2724</v>
      </c>
      <c r="B2568" s="23" t="s">
        <v>2</v>
      </c>
      <c r="C2568" s="29"/>
      <c r="D2568" s="29"/>
      <c r="E2568" s="29"/>
      <c r="F2568" s="29"/>
      <c r="G2568" s="29"/>
    </row>
    <row r="2569" spans="1:11" x14ac:dyDescent="0.25">
      <c r="A2569" s="30" t="s">
        <v>3166</v>
      </c>
      <c r="B2569" s="30" t="s">
        <v>3167</v>
      </c>
      <c r="C2569" s="31">
        <v>74253.83</v>
      </c>
      <c r="D2569" s="31">
        <v>0</v>
      </c>
      <c r="E2569" s="31">
        <v>80000</v>
      </c>
      <c r="F2569" s="31">
        <v>0</v>
      </c>
      <c r="G2569" s="29"/>
    </row>
    <row r="2570" spans="1:11" x14ac:dyDescent="0.25">
      <c r="A2570" s="30" t="s">
        <v>3168</v>
      </c>
      <c r="B2570" s="30" t="s">
        <v>3169</v>
      </c>
      <c r="C2570" s="31">
        <v>126350.08</v>
      </c>
      <c r="D2570" s="31">
        <v>0</v>
      </c>
      <c r="E2570" s="31">
        <v>166750</v>
      </c>
      <c r="F2570" s="31">
        <v>0</v>
      </c>
      <c r="G2570" s="29"/>
    </row>
    <row r="2571" spans="1:11" x14ac:dyDescent="0.25">
      <c r="A2571" s="30" t="s">
        <v>3170</v>
      </c>
      <c r="B2571" s="30" t="s">
        <v>3171</v>
      </c>
      <c r="C2571" s="31">
        <v>67717.850000000006</v>
      </c>
      <c r="D2571" s="31">
        <v>0</v>
      </c>
      <c r="E2571" s="31">
        <v>114250</v>
      </c>
      <c r="F2571" s="31">
        <v>0</v>
      </c>
      <c r="G2571" s="29"/>
    </row>
    <row r="2572" spans="1:11" x14ac:dyDescent="0.25">
      <c r="A2572" s="30" t="s">
        <v>3172</v>
      </c>
      <c r="B2572" s="30" t="s">
        <v>3173</v>
      </c>
      <c r="C2572" s="31">
        <v>108359.54</v>
      </c>
      <c r="D2572" s="31">
        <v>0</v>
      </c>
      <c r="E2572" s="31">
        <v>94250</v>
      </c>
      <c r="F2572" s="31">
        <v>0</v>
      </c>
      <c r="G2572" s="29"/>
    </row>
    <row r="2573" spans="1:11" x14ac:dyDescent="0.25">
      <c r="A2573" s="30" t="s">
        <v>3174</v>
      </c>
      <c r="B2573" s="30" t="s">
        <v>3175</v>
      </c>
      <c r="C2573" s="31">
        <v>166991.78</v>
      </c>
      <c r="D2573" s="31">
        <v>0</v>
      </c>
      <c r="E2573" s="31">
        <v>121750</v>
      </c>
      <c r="F2573" s="31">
        <v>0</v>
      </c>
      <c r="G2573" s="29"/>
    </row>
    <row r="2574" spans="1:11" x14ac:dyDescent="0.25">
      <c r="A2574" s="30" t="s">
        <v>3176</v>
      </c>
      <c r="B2574" s="30" t="s">
        <v>3177</v>
      </c>
      <c r="C2574" s="31">
        <v>0</v>
      </c>
      <c r="D2574" s="31">
        <v>0</v>
      </c>
      <c r="E2574" s="31">
        <v>60000</v>
      </c>
      <c r="F2574" s="31">
        <v>0</v>
      </c>
      <c r="G2574" s="29"/>
    </row>
    <row r="2575" spans="1:11" x14ac:dyDescent="0.25">
      <c r="A2575" s="30" t="s">
        <v>3178</v>
      </c>
      <c r="B2575" s="30" t="s">
        <v>3179</v>
      </c>
      <c r="C2575" s="31">
        <v>0</v>
      </c>
      <c r="D2575" s="31">
        <v>0</v>
      </c>
      <c r="E2575" s="31">
        <v>50000</v>
      </c>
      <c r="F2575" s="31">
        <v>0</v>
      </c>
      <c r="G2575" s="29"/>
      <c r="J2575" s="48">
        <f>SUM(J6:J2569)</f>
        <v>0</v>
      </c>
      <c r="K2575" s="48">
        <f>SUM(K6:K2569)</f>
        <v>0</v>
      </c>
    </row>
    <row r="2576" spans="1:11" x14ac:dyDescent="0.25">
      <c r="A2576" s="23" t="s">
        <v>2725</v>
      </c>
      <c r="B2576" s="23" t="s">
        <v>2</v>
      </c>
      <c r="C2576" s="32">
        <v>543673.07999999996</v>
      </c>
      <c r="D2576" s="32">
        <v>0</v>
      </c>
      <c r="E2576" s="32">
        <f>SUM(E2569:E2575)</f>
        <v>687000</v>
      </c>
      <c r="F2576" s="32">
        <f>SUM(F2569:F2575)</f>
        <v>0</v>
      </c>
      <c r="G2576" s="29"/>
    </row>
    <row r="2577" spans="1:11" x14ac:dyDescent="0.25">
      <c r="A2577" s="23" t="s">
        <v>2</v>
      </c>
      <c r="B2577" s="23" t="s">
        <v>2</v>
      </c>
      <c r="C2577" s="23" t="s">
        <v>2</v>
      </c>
      <c r="D2577" s="23" t="s">
        <v>2</v>
      </c>
      <c r="E2577" s="23" t="s">
        <v>2</v>
      </c>
      <c r="F2577" s="23" t="s">
        <v>2</v>
      </c>
      <c r="G2577" s="29"/>
      <c r="K2577" s="41">
        <f>J2575-K2575</f>
        <v>0</v>
      </c>
    </row>
    <row r="2578" spans="1:11" x14ac:dyDescent="0.25">
      <c r="A2578" s="23" t="s">
        <v>2556</v>
      </c>
      <c r="B2578" s="23" t="s">
        <v>2</v>
      </c>
      <c r="C2578" s="32">
        <v>563190.79</v>
      </c>
      <c r="D2578" s="32">
        <v>13287.73</v>
      </c>
      <c r="E2578" s="32">
        <f>E2576+E2566+E2561</f>
        <v>687000</v>
      </c>
      <c r="F2578" s="32">
        <f>F2576+F2566+F2561</f>
        <v>0</v>
      </c>
      <c r="G2578" s="29"/>
    </row>
    <row r="2579" spans="1:11" x14ac:dyDescent="0.25">
      <c r="A2579" s="23" t="s">
        <v>2</v>
      </c>
      <c r="B2579" s="23" t="s">
        <v>2</v>
      </c>
      <c r="C2579" s="23" t="s">
        <v>2</v>
      </c>
      <c r="D2579" s="23" t="s">
        <v>2</v>
      </c>
      <c r="E2579" s="23" t="s">
        <v>2</v>
      </c>
      <c r="F2579" s="23" t="s">
        <v>2</v>
      </c>
      <c r="G2579" s="29"/>
    </row>
    <row r="2580" spans="1:11" x14ac:dyDescent="0.25">
      <c r="A2580" s="23" t="s">
        <v>1999</v>
      </c>
      <c r="B2580" s="23" t="s">
        <v>2</v>
      </c>
      <c r="C2580" s="32">
        <v>1301843.6599999999</v>
      </c>
      <c r="D2580" s="32">
        <v>668052.56999999995</v>
      </c>
      <c r="E2580" s="32">
        <v>1314809.46</v>
      </c>
      <c r="F2580" s="32">
        <f>F2578+F2557+F2553+SUM(F2538:F2540)</f>
        <v>0</v>
      </c>
      <c r="G2580" s="29"/>
    </row>
    <row r="2581" spans="1:11" x14ac:dyDescent="0.25">
      <c r="A2581" s="1" t="s">
        <v>740</v>
      </c>
      <c r="B2581" s="1" t="s">
        <v>2</v>
      </c>
      <c r="C2581" s="1" t="s">
        <v>2</v>
      </c>
      <c r="D2581" s="1" t="s">
        <v>2</v>
      </c>
      <c r="E2581" s="1" t="s">
        <v>2</v>
      </c>
      <c r="F2581" s="1" t="s">
        <v>2</v>
      </c>
    </row>
    <row r="2582" spans="1:11" ht="15" customHeight="1" x14ac:dyDescent="0.25">
      <c r="A2582" s="1" t="s">
        <v>1898</v>
      </c>
      <c r="B2582" s="1" t="s">
        <v>2</v>
      </c>
    </row>
    <row r="2583" spans="1:11" ht="15" customHeight="1" x14ac:dyDescent="0.25">
      <c r="A2583" s="2" t="s">
        <v>1899</v>
      </c>
      <c r="B2583" s="2" t="s">
        <v>1900</v>
      </c>
      <c r="C2583" s="3">
        <v>75387.66</v>
      </c>
      <c r="D2583" s="3">
        <v>0</v>
      </c>
      <c r="E2583" s="3">
        <v>108378.67</v>
      </c>
      <c r="F2583" s="5">
        <v>0</v>
      </c>
    </row>
    <row r="2584" spans="1:11" ht="15" customHeight="1" x14ac:dyDescent="0.25">
      <c r="A2584" s="2" t="s">
        <v>1901</v>
      </c>
      <c r="B2584" s="2" t="s">
        <v>108</v>
      </c>
      <c r="C2584" s="3">
        <v>127710.65</v>
      </c>
      <c r="D2584" s="3">
        <v>76439.740000000005</v>
      </c>
      <c r="E2584" s="3">
        <v>144330.57</v>
      </c>
      <c r="F2584" s="5">
        <v>0</v>
      </c>
    </row>
    <row r="2585" spans="1:11" ht="15" customHeight="1" x14ac:dyDescent="0.25">
      <c r="A2585" s="2" t="s">
        <v>1902</v>
      </c>
      <c r="B2585" s="2" t="s">
        <v>569</v>
      </c>
      <c r="C2585" s="3">
        <v>0</v>
      </c>
      <c r="D2585" s="3">
        <v>0</v>
      </c>
      <c r="E2585" s="3">
        <v>0</v>
      </c>
      <c r="F2585" s="5">
        <v>0</v>
      </c>
    </row>
    <row r="2586" spans="1:11" ht="15" customHeight="1" x14ac:dyDescent="0.25">
      <c r="A2586" s="2" t="s">
        <v>1903</v>
      </c>
      <c r="B2586" s="2" t="s">
        <v>29</v>
      </c>
      <c r="C2586" s="3">
        <v>25675.13</v>
      </c>
      <c r="D2586" s="3">
        <v>18374.240000000002</v>
      </c>
      <c r="E2586" s="3">
        <v>46158.14</v>
      </c>
      <c r="F2586" s="5">
        <v>0</v>
      </c>
    </row>
    <row r="2587" spans="1:11" ht="15" customHeight="1" x14ac:dyDescent="0.25">
      <c r="A2587" s="2" t="s">
        <v>1904</v>
      </c>
      <c r="B2587" s="2" t="s">
        <v>128</v>
      </c>
      <c r="C2587" s="3">
        <v>2878.54</v>
      </c>
      <c r="D2587" s="3">
        <v>1436.91</v>
      </c>
      <c r="E2587" s="3">
        <v>3216</v>
      </c>
      <c r="F2587" s="5">
        <v>0</v>
      </c>
    </row>
    <row r="2588" spans="1:11" ht="15" customHeight="1" x14ac:dyDescent="0.25">
      <c r="A2588" s="2" t="s">
        <v>1905</v>
      </c>
      <c r="B2588" s="2" t="s">
        <v>33</v>
      </c>
      <c r="C2588" s="3">
        <v>17129.64</v>
      </c>
      <c r="D2588" s="3">
        <v>9042.2800000000007</v>
      </c>
      <c r="E2588" s="3">
        <v>17697.63</v>
      </c>
      <c r="F2588" s="5">
        <v>0</v>
      </c>
    </row>
    <row r="2589" spans="1:11" ht="15" customHeight="1" x14ac:dyDescent="0.25">
      <c r="A2589" s="2" t="s">
        <v>1906</v>
      </c>
      <c r="B2589" s="2" t="s">
        <v>11</v>
      </c>
      <c r="C2589" s="3">
        <v>9673.85</v>
      </c>
      <c r="D2589" s="3">
        <v>5776.74</v>
      </c>
      <c r="E2589" s="3">
        <v>11041.29</v>
      </c>
      <c r="F2589" s="5">
        <v>0</v>
      </c>
    </row>
    <row r="2590" spans="1:11" ht="15" customHeight="1" x14ac:dyDescent="0.25">
      <c r="A2590" s="2" t="s">
        <v>1907</v>
      </c>
      <c r="B2590" s="2" t="s">
        <v>13</v>
      </c>
      <c r="C2590" s="3">
        <v>187.23</v>
      </c>
      <c r="D2590" s="3">
        <v>163.34</v>
      </c>
      <c r="E2590" s="3">
        <v>212.17</v>
      </c>
      <c r="F2590" s="5">
        <v>0</v>
      </c>
    </row>
    <row r="2591" spans="1:11" ht="15" customHeight="1" x14ac:dyDescent="0.25">
      <c r="A2591" s="2" t="s">
        <v>1908</v>
      </c>
      <c r="B2591" s="2" t="s">
        <v>458</v>
      </c>
      <c r="C2591" s="3">
        <v>501.24</v>
      </c>
      <c r="D2591" s="3">
        <v>110.7</v>
      </c>
      <c r="E2591" s="3">
        <v>446.32</v>
      </c>
      <c r="F2591" s="5">
        <v>0</v>
      </c>
    </row>
    <row r="2592" spans="1:11" ht="15" customHeight="1" x14ac:dyDescent="0.25">
      <c r="A2592" s="2" t="s">
        <v>1909</v>
      </c>
      <c r="B2592" s="2" t="s">
        <v>585</v>
      </c>
      <c r="C2592" s="3">
        <v>0</v>
      </c>
      <c r="D2592" s="3">
        <v>0</v>
      </c>
      <c r="E2592" s="3">
        <v>0</v>
      </c>
      <c r="F2592" s="5">
        <v>0</v>
      </c>
    </row>
    <row r="2593" spans="1:6" ht="15" customHeight="1" x14ac:dyDescent="0.25">
      <c r="A2593" s="2" t="s">
        <v>1910</v>
      </c>
      <c r="B2593" s="2" t="s">
        <v>37</v>
      </c>
      <c r="C2593" s="3">
        <v>0</v>
      </c>
      <c r="D2593" s="3">
        <v>0</v>
      </c>
      <c r="E2593" s="3">
        <v>0</v>
      </c>
      <c r="F2593" s="5">
        <v>0</v>
      </c>
    </row>
    <row r="2594" spans="1:6" ht="15" customHeight="1" x14ac:dyDescent="0.25">
      <c r="A2594" s="2" t="s">
        <v>1911</v>
      </c>
      <c r="B2594" s="2" t="s">
        <v>1912</v>
      </c>
      <c r="C2594" s="3">
        <v>0</v>
      </c>
      <c r="D2594" s="3">
        <v>0</v>
      </c>
      <c r="E2594" s="3">
        <v>0</v>
      </c>
      <c r="F2594" s="5">
        <v>0</v>
      </c>
    </row>
    <row r="2595" spans="1:6" ht="15" customHeight="1" x14ac:dyDescent="0.25">
      <c r="A2595" s="2" t="s">
        <v>1913</v>
      </c>
      <c r="B2595" s="2" t="s">
        <v>1914</v>
      </c>
      <c r="C2595" s="3">
        <v>67780.759999999995</v>
      </c>
      <c r="D2595" s="3">
        <v>37634.99</v>
      </c>
      <c r="E2595" s="3">
        <v>85000</v>
      </c>
      <c r="F2595" s="5">
        <v>0</v>
      </c>
    </row>
    <row r="2596" spans="1:6" ht="15" customHeight="1" x14ac:dyDescent="0.25">
      <c r="A2596" s="2" t="s">
        <v>1915</v>
      </c>
      <c r="B2596" s="2" t="s">
        <v>1916</v>
      </c>
      <c r="C2596" s="3">
        <v>128446.65</v>
      </c>
      <c r="D2596" s="3">
        <v>54647.06</v>
      </c>
      <c r="E2596" s="3">
        <v>110000</v>
      </c>
      <c r="F2596" s="5">
        <v>0</v>
      </c>
    </row>
    <row r="2597" spans="1:6" ht="15" customHeight="1" x14ac:dyDescent="0.25">
      <c r="A2597" s="2" t="s">
        <v>1917</v>
      </c>
      <c r="B2597" s="2" t="s">
        <v>905</v>
      </c>
      <c r="C2597" s="3">
        <v>2127.35</v>
      </c>
      <c r="D2597" s="3">
        <v>588.86</v>
      </c>
      <c r="E2597" s="3">
        <v>5000</v>
      </c>
      <c r="F2597" s="5">
        <v>0</v>
      </c>
    </row>
    <row r="2598" spans="1:6" x14ac:dyDescent="0.25">
      <c r="A2598" s="2" t="s">
        <v>1918</v>
      </c>
      <c r="B2598" s="2" t="s">
        <v>1919</v>
      </c>
      <c r="C2598" s="3">
        <v>1359.84</v>
      </c>
      <c r="D2598" s="3">
        <v>2179.88</v>
      </c>
      <c r="E2598" s="3">
        <v>2179.88</v>
      </c>
      <c r="F2598" s="5">
        <v>0</v>
      </c>
    </row>
    <row r="2599" spans="1:6" ht="15" customHeight="1" x14ac:dyDescent="0.25">
      <c r="A2599" s="2" t="s">
        <v>1920</v>
      </c>
      <c r="B2599" s="2" t="s">
        <v>57</v>
      </c>
      <c r="C2599" s="3">
        <v>1207.81</v>
      </c>
      <c r="D2599" s="3">
        <v>367.15</v>
      </c>
      <c r="E2599" s="3">
        <v>1200</v>
      </c>
      <c r="F2599" s="5">
        <v>0</v>
      </c>
    </row>
    <row r="2600" spans="1:6" ht="15" customHeight="1" x14ac:dyDescent="0.25">
      <c r="A2600" s="2" t="s">
        <v>1921</v>
      </c>
      <c r="B2600" s="2" t="s">
        <v>303</v>
      </c>
      <c r="C2600" s="3">
        <v>6182.87</v>
      </c>
      <c r="D2600" s="3">
        <v>5503.82</v>
      </c>
      <c r="E2600" s="3">
        <v>8000</v>
      </c>
      <c r="F2600" s="5">
        <v>0</v>
      </c>
    </row>
    <row r="2601" spans="1:6" ht="15" customHeight="1" x14ac:dyDescent="0.25">
      <c r="A2601" s="2" t="s">
        <v>1922</v>
      </c>
      <c r="B2601" s="2" t="s">
        <v>305</v>
      </c>
      <c r="C2601" s="3">
        <v>8569.74</v>
      </c>
      <c r="D2601" s="3">
        <v>3247.67</v>
      </c>
      <c r="E2601" s="3">
        <v>8000</v>
      </c>
      <c r="F2601" s="5">
        <v>0</v>
      </c>
    </row>
    <row r="2602" spans="1:6" ht="15" customHeight="1" x14ac:dyDescent="0.25">
      <c r="A2602" s="2" t="s">
        <v>1923</v>
      </c>
      <c r="B2602" s="2" t="s">
        <v>1562</v>
      </c>
      <c r="C2602" s="3">
        <v>746.27</v>
      </c>
      <c r="D2602" s="3">
        <v>248.92</v>
      </c>
      <c r="E2602" s="3">
        <v>700</v>
      </c>
      <c r="F2602" s="5">
        <v>0</v>
      </c>
    </row>
    <row r="2603" spans="1:6" ht="15" customHeight="1" x14ac:dyDescent="0.25">
      <c r="A2603" s="2" t="s">
        <v>1924</v>
      </c>
      <c r="B2603" s="2" t="s">
        <v>947</v>
      </c>
      <c r="C2603" s="3">
        <v>34387.06</v>
      </c>
      <c r="D2603" s="3">
        <v>6779.92</v>
      </c>
      <c r="E2603" s="3">
        <v>30000</v>
      </c>
      <c r="F2603" s="5">
        <v>0</v>
      </c>
    </row>
    <row r="2604" spans="1:6" ht="15" customHeight="1" x14ac:dyDescent="0.25">
      <c r="A2604" s="2" t="s">
        <v>1925</v>
      </c>
      <c r="B2604" s="2" t="s">
        <v>64</v>
      </c>
      <c r="C2604" s="3">
        <v>356.24</v>
      </c>
      <c r="D2604" s="3">
        <v>1773.3</v>
      </c>
      <c r="E2604" s="3">
        <v>500</v>
      </c>
      <c r="F2604" s="5">
        <v>0</v>
      </c>
    </row>
    <row r="2605" spans="1:6" ht="15" customHeight="1" x14ac:dyDescent="0.25">
      <c r="A2605" s="2" t="s">
        <v>1926</v>
      </c>
      <c r="B2605" s="2" t="s">
        <v>907</v>
      </c>
      <c r="C2605" s="3">
        <v>34646.449999999997</v>
      </c>
      <c r="D2605" s="3">
        <v>30714.7</v>
      </c>
      <c r="E2605" s="3">
        <v>30714.7</v>
      </c>
      <c r="F2605" s="5">
        <v>0</v>
      </c>
    </row>
    <row r="2606" spans="1:6" x14ac:dyDescent="0.25">
      <c r="A2606" s="2" t="s">
        <v>2</v>
      </c>
      <c r="B2606" s="2" t="s">
        <v>2</v>
      </c>
      <c r="C2606" s="2" t="s">
        <v>2</v>
      </c>
      <c r="D2606" s="2" t="s">
        <v>2</v>
      </c>
      <c r="E2606" s="2" t="s">
        <v>2</v>
      </c>
      <c r="F2606" s="2" t="s">
        <v>2</v>
      </c>
    </row>
    <row r="2607" spans="1:6" x14ac:dyDescent="0.25">
      <c r="A2607" s="1" t="s">
        <v>1927</v>
      </c>
      <c r="B2607" s="1" t="s">
        <v>2</v>
      </c>
    </row>
    <row r="2608" spans="1:6" ht="15" customHeight="1" x14ac:dyDescent="0.25">
      <c r="A2608" s="2" t="s">
        <v>1928</v>
      </c>
      <c r="B2608" s="2" t="s">
        <v>1929</v>
      </c>
      <c r="C2608" s="3">
        <v>10131.719999999999</v>
      </c>
      <c r="D2608" s="3">
        <v>6580.93</v>
      </c>
      <c r="E2608" s="3">
        <v>0</v>
      </c>
      <c r="F2608" s="5">
        <v>0</v>
      </c>
    </row>
    <row r="2609" spans="1:6" ht="15" customHeight="1" x14ac:dyDescent="0.25">
      <c r="A2609" s="2" t="s">
        <v>1930</v>
      </c>
      <c r="B2609" s="2" t="s">
        <v>1931</v>
      </c>
      <c r="C2609" s="3">
        <v>22105.24</v>
      </c>
      <c r="D2609" s="3">
        <v>8062.08</v>
      </c>
      <c r="E2609" s="3">
        <v>8500</v>
      </c>
      <c r="F2609" s="5">
        <v>0</v>
      </c>
    </row>
    <row r="2610" spans="1:6" ht="15" customHeight="1" x14ac:dyDescent="0.25">
      <c r="A2610" s="2" t="s">
        <v>1932</v>
      </c>
      <c r="B2610" s="2" t="s">
        <v>1933</v>
      </c>
      <c r="C2610" s="3">
        <v>0</v>
      </c>
      <c r="D2610" s="3">
        <v>13912.71</v>
      </c>
      <c r="E2610" s="3">
        <v>0</v>
      </c>
      <c r="F2610" s="5">
        <v>0</v>
      </c>
    </row>
    <row r="2611" spans="1:6" ht="15" customHeight="1" x14ac:dyDescent="0.25">
      <c r="A2611" s="2" t="s">
        <v>1934</v>
      </c>
      <c r="B2611" s="2" t="s">
        <v>1935</v>
      </c>
      <c r="C2611" s="3">
        <v>117782.52</v>
      </c>
      <c r="D2611" s="3">
        <v>70884.59</v>
      </c>
      <c r="E2611" s="3">
        <v>201790.92</v>
      </c>
      <c r="F2611" s="5">
        <v>0</v>
      </c>
    </row>
    <row r="2612" spans="1:6" ht="15" customHeight="1" x14ac:dyDescent="0.25">
      <c r="A2612" s="2" t="s">
        <v>1936</v>
      </c>
      <c r="B2612" s="2" t="s">
        <v>1937</v>
      </c>
      <c r="C2612" s="3">
        <v>14201.38</v>
      </c>
      <c r="D2612" s="3">
        <v>4925.67</v>
      </c>
      <c r="E2612" s="3">
        <v>0</v>
      </c>
      <c r="F2612" s="5">
        <v>0</v>
      </c>
    </row>
    <row r="2613" spans="1:6" ht="15" customHeight="1" x14ac:dyDescent="0.25">
      <c r="A2613" s="2" t="s">
        <v>1938</v>
      </c>
      <c r="B2613" s="2" t="s">
        <v>1939</v>
      </c>
      <c r="C2613" s="3">
        <v>0</v>
      </c>
      <c r="D2613" s="3">
        <v>24712.46</v>
      </c>
      <c r="E2613" s="3">
        <v>0</v>
      </c>
      <c r="F2613" s="5">
        <v>0</v>
      </c>
    </row>
    <row r="2614" spans="1:6" ht="15" customHeight="1" x14ac:dyDescent="0.25">
      <c r="A2614" s="2" t="s">
        <v>1940</v>
      </c>
      <c r="B2614" s="2" t="s">
        <v>1941</v>
      </c>
      <c r="C2614" s="3">
        <v>7869.48</v>
      </c>
      <c r="D2614" s="3">
        <v>0</v>
      </c>
      <c r="E2614" s="3">
        <v>0</v>
      </c>
      <c r="F2614" s="5">
        <v>0</v>
      </c>
    </row>
    <row r="2615" spans="1:6" ht="15" customHeight="1" x14ac:dyDescent="0.25">
      <c r="A2615" s="2" t="s">
        <v>1942</v>
      </c>
      <c r="B2615" s="2" t="s">
        <v>1943</v>
      </c>
      <c r="C2615" s="3">
        <v>0</v>
      </c>
      <c r="D2615" s="3">
        <v>0</v>
      </c>
      <c r="E2615" s="3">
        <v>0</v>
      </c>
      <c r="F2615" s="5">
        <v>0</v>
      </c>
    </row>
    <row r="2616" spans="1:6" ht="15" customHeight="1" x14ac:dyDescent="0.25">
      <c r="A2616" s="2" t="s">
        <v>1944</v>
      </c>
      <c r="B2616" s="2" t="s">
        <v>1945</v>
      </c>
      <c r="C2616" s="3">
        <v>0</v>
      </c>
      <c r="D2616" s="3">
        <v>0</v>
      </c>
      <c r="E2616" s="3">
        <v>0</v>
      </c>
      <c r="F2616" s="5">
        <v>0</v>
      </c>
    </row>
    <row r="2617" spans="1:6" ht="15" customHeight="1" x14ac:dyDescent="0.25">
      <c r="A2617" s="2" t="s">
        <v>1946</v>
      </c>
      <c r="B2617" s="2" t="s">
        <v>1947</v>
      </c>
      <c r="C2617" s="3">
        <v>95402.58</v>
      </c>
      <c r="D2617" s="3">
        <v>0</v>
      </c>
      <c r="E2617" s="3">
        <v>0</v>
      </c>
      <c r="F2617" s="5">
        <v>0</v>
      </c>
    </row>
    <row r="2618" spans="1:6" ht="15" customHeight="1" x14ac:dyDescent="0.25">
      <c r="A2618" s="2" t="s">
        <v>1948</v>
      </c>
      <c r="B2618" s="2" t="s">
        <v>1949</v>
      </c>
      <c r="C2618" s="3">
        <v>0</v>
      </c>
      <c r="D2618" s="3">
        <v>0</v>
      </c>
      <c r="E2618" s="3">
        <v>0</v>
      </c>
      <c r="F2618" s="5">
        <v>0</v>
      </c>
    </row>
    <row r="2619" spans="1:6" ht="15" customHeight="1" x14ac:dyDescent="0.25">
      <c r="A2619" s="2" t="s">
        <v>1950</v>
      </c>
      <c r="B2619" s="2" t="s">
        <v>1951</v>
      </c>
      <c r="C2619" s="3">
        <v>0</v>
      </c>
      <c r="D2619" s="3">
        <v>0</v>
      </c>
      <c r="E2619" s="3">
        <v>40000</v>
      </c>
      <c r="F2619" s="5">
        <v>0</v>
      </c>
    </row>
    <row r="2620" spans="1:6" ht="15" customHeight="1" x14ac:dyDescent="0.25">
      <c r="A2620" s="2" t="s">
        <v>1952</v>
      </c>
      <c r="B2620" s="2" t="s">
        <v>1953</v>
      </c>
      <c r="C2620" s="3">
        <v>0</v>
      </c>
      <c r="D2620" s="3">
        <v>0</v>
      </c>
      <c r="E2620" s="3">
        <v>40000</v>
      </c>
      <c r="F2620" s="5">
        <v>0</v>
      </c>
    </row>
    <row r="2621" spans="1:6" ht="15" customHeight="1" x14ac:dyDescent="0.25">
      <c r="A2621" s="2" t="s">
        <v>1954</v>
      </c>
      <c r="B2621" s="2" t="s">
        <v>1955</v>
      </c>
      <c r="C2621" s="3">
        <v>0</v>
      </c>
      <c r="D2621" s="3">
        <v>0</v>
      </c>
      <c r="E2621" s="3">
        <v>90000</v>
      </c>
      <c r="F2621" s="5">
        <v>0</v>
      </c>
    </row>
    <row r="2622" spans="1:6" ht="15" customHeight="1" x14ac:dyDescent="0.25">
      <c r="A2622" s="2" t="s">
        <v>1956</v>
      </c>
      <c r="B2622" s="2" t="s">
        <v>1957</v>
      </c>
      <c r="C2622" s="3">
        <v>0</v>
      </c>
      <c r="D2622" s="3">
        <v>0</v>
      </c>
      <c r="E2622" s="3">
        <v>40000</v>
      </c>
      <c r="F2622" s="5">
        <v>0</v>
      </c>
    </row>
    <row r="2623" spans="1:6" ht="15" customHeight="1" x14ac:dyDescent="0.25">
      <c r="A2623" s="2" t="s">
        <v>1958</v>
      </c>
      <c r="B2623" s="2" t="s">
        <v>1959</v>
      </c>
      <c r="C2623" s="3">
        <v>0</v>
      </c>
      <c r="D2623" s="3">
        <v>0</v>
      </c>
      <c r="E2623" s="3">
        <v>40000</v>
      </c>
      <c r="F2623" s="5">
        <v>0</v>
      </c>
    </row>
    <row r="2624" spans="1:6" ht="15" customHeight="1" x14ac:dyDescent="0.25">
      <c r="A2624" s="2" t="s">
        <v>1960</v>
      </c>
      <c r="B2624" s="2" t="s">
        <v>1961</v>
      </c>
      <c r="C2624" s="3">
        <v>0</v>
      </c>
      <c r="D2624" s="3">
        <v>0</v>
      </c>
      <c r="E2624" s="3">
        <v>40000</v>
      </c>
      <c r="F2624" s="5">
        <v>0</v>
      </c>
    </row>
    <row r="2625" spans="1:6" ht="15" customHeight="1" x14ac:dyDescent="0.25">
      <c r="A2625" s="2" t="s">
        <v>1962</v>
      </c>
      <c r="B2625" s="2" t="s">
        <v>1963</v>
      </c>
      <c r="C2625" s="3">
        <v>0</v>
      </c>
      <c r="D2625" s="3">
        <v>0</v>
      </c>
      <c r="E2625" s="3">
        <v>40000</v>
      </c>
      <c r="F2625" s="5">
        <v>0</v>
      </c>
    </row>
    <row r="2626" spans="1:6" ht="15" customHeight="1" x14ac:dyDescent="0.25">
      <c r="A2626" s="2" t="s">
        <v>1964</v>
      </c>
      <c r="B2626" s="2" t="s">
        <v>1965</v>
      </c>
      <c r="C2626" s="3">
        <v>0</v>
      </c>
      <c r="D2626" s="3">
        <v>0</v>
      </c>
      <c r="E2626" s="3">
        <v>25000</v>
      </c>
      <c r="F2626" s="5">
        <v>0</v>
      </c>
    </row>
    <row r="2627" spans="1:6" ht="15" customHeight="1" x14ac:dyDescent="0.25">
      <c r="A2627" s="2" t="s">
        <v>1966</v>
      </c>
      <c r="B2627" s="2" t="s">
        <v>1967</v>
      </c>
      <c r="C2627" s="3">
        <v>0</v>
      </c>
      <c r="D2627" s="3">
        <v>0</v>
      </c>
      <c r="E2627" s="3">
        <v>190000</v>
      </c>
      <c r="F2627" s="5">
        <v>0</v>
      </c>
    </row>
    <row r="2628" spans="1:6" x14ac:dyDescent="0.25">
      <c r="A2628" s="2" t="s">
        <v>1968</v>
      </c>
      <c r="B2628" s="2" t="s">
        <v>1969</v>
      </c>
      <c r="C2628" s="3">
        <v>0</v>
      </c>
      <c r="D2628" s="3">
        <v>0</v>
      </c>
      <c r="E2628" s="3">
        <v>25000</v>
      </c>
      <c r="F2628" s="5">
        <v>0</v>
      </c>
    </row>
    <row r="2629" spans="1:6" ht="15" customHeight="1" x14ac:dyDescent="0.25">
      <c r="A2629" s="2" t="s">
        <v>1970</v>
      </c>
      <c r="B2629" s="2" t="s">
        <v>1971</v>
      </c>
      <c r="C2629" s="3">
        <v>0</v>
      </c>
      <c r="D2629" s="3">
        <v>0</v>
      </c>
      <c r="E2629" s="3">
        <v>60000</v>
      </c>
      <c r="F2629" s="5">
        <v>0</v>
      </c>
    </row>
    <row r="2630" spans="1:6" ht="15" customHeight="1" x14ac:dyDescent="0.25">
      <c r="A2630" s="2" t="s">
        <v>1972</v>
      </c>
      <c r="B2630" s="2" t="s">
        <v>1973</v>
      </c>
      <c r="C2630" s="3">
        <v>0</v>
      </c>
      <c r="D2630" s="3">
        <v>7415.48</v>
      </c>
      <c r="E2630" s="3">
        <v>7000</v>
      </c>
      <c r="F2630" s="5">
        <v>0</v>
      </c>
    </row>
    <row r="2631" spans="1:6" ht="15" customHeight="1" x14ac:dyDescent="0.25">
      <c r="A2631" s="2" t="s">
        <v>1974</v>
      </c>
      <c r="B2631" s="2" t="s">
        <v>1975</v>
      </c>
      <c r="C2631" s="3">
        <v>70572.14</v>
      </c>
      <c r="D2631" s="3">
        <v>0</v>
      </c>
      <c r="E2631" s="3">
        <v>0</v>
      </c>
      <c r="F2631" s="5">
        <v>0</v>
      </c>
    </row>
    <row r="2632" spans="1:6" ht="15" customHeight="1" x14ac:dyDescent="0.25">
      <c r="A2632" s="2" t="s">
        <v>1976</v>
      </c>
      <c r="B2632" s="2" t="s">
        <v>1977</v>
      </c>
      <c r="C2632" s="3">
        <v>34448.65</v>
      </c>
      <c r="D2632" s="3">
        <v>0</v>
      </c>
      <c r="E2632" s="3">
        <v>0</v>
      </c>
      <c r="F2632" s="5">
        <v>0</v>
      </c>
    </row>
    <row r="2633" spans="1:6" ht="15" customHeight="1" x14ac:dyDescent="0.25">
      <c r="A2633" s="2" t="s">
        <v>1978</v>
      </c>
      <c r="B2633" s="2" t="s">
        <v>1979</v>
      </c>
      <c r="C2633" s="3">
        <v>116569.46</v>
      </c>
      <c r="D2633" s="3">
        <v>0</v>
      </c>
      <c r="E2633" s="3">
        <v>0</v>
      </c>
      <c r="F2633" s="5">
        <v>0</v>
      </c>
    </row>
    <row r="2634" spans="1:6" ht="15" customHeight="1" x14ac:dyDescent="0.25">
      <c r="A2634" s="2" t="s">
        <v>1980</v>
      </c>
      <c r="B2634" s="2" t="s">
        <v>1981</v>
      </c>
      <c r="C2634" s="3">
        <v>78228.100000000006</v>
      </c>
      <c r="D2634" s="3">
        <v>0</v>
      </c>
      <c r="E2634" s="3">
        <v>0</v>
      </c>
      <c r="F2634" s="5">
        <v>0</v>
      </c>
    </row>
    <row r="2635" spans="1:6" ht="15" customHeight="1" x14ac:dyDescent="0.25">
      <c r="A2635" s="2" t="s">
        <v>1982</v>
      </c>
      <c r="B2635" s="2" t="s">
        <v>1983</v>
      </c>
      <c r="C2635" s="3">
        <v>74322.5</v>
      </c>
      <c r="D2635" s="3">
        <v>0</v>
      </c>
      <c r="E2635" s="3">
        <v>0</v>
      </c>
      <c r="F2635" s="5">
        <v>0</v>
      </c>
    </row>
    <row r="2636" spans="1:6" ht="15" customHeight="1" x14ac:dyDescent="0.25">
      <c r="A2636" s="2" t="s">
        <v>1984</v>
      </c>
      <c r="B2636" s="2" t="s">
        <v>1985</v>
      </c>
      <c r="C2636" s="3">
        <v>33976.43</v>
      </c>
      <c r="D2636" s="3">
        <v>0</v>
      </c>
      <c r="E2636" s="3">
        <v>0</v>
      </c>
      <c r="F2636" s="5">
        <v>0</v>
      </c>
    </row>
    <row r="2637" spans="1:6" ht="15" customHeight="1" x14ac:dyDescent="0.25">
      <c r="A2637" s="2" t="s">
        <v>1986</v>
      </c>
      <c r="B2637" s="2" t="s">
        <v>1987</v>
      </c>
      <c r="C2637" s="3">
        <v>0</v>
      </c>
      <c r="D2637" s="3">
        <v>0</v>
      </c>
      <c r="E2637" s="3">
        <v>0</v>
      </c>
      <c r="F2637" s="5">
        <v>0</v>
      </c>
    </row>
    <row r="2638" spans="1:6" ht="15" customHeight="1" x14ac:dyDescent="0.25">
      <c r="A2638" s="2" t="s">
        <v>1988</v>
      </c>
      <c r="B2638" s="2" t="s">
        <v>1989</v>
      </c>
      <c r="C2638" s="3">
        <v>0</v>
      </c>
      <c r="D2638" s="3">
        <v>0</v>
      </c>
      <c r="E2638" s="3">
        <v>0</v>
      </c>
      <c r="F2638" s="5">
        <v>0</v>
      </c>
    </row>
    <row r="2639" spans="1:6" ht="15" customHeight="1" x14ac:dyDescent="0.25">
      <c r="A2639" s="2" t="s">
        <v>1990</v>
      </c>
      <c r="B2639" s="2" t="s">
        <v>1991</v>
      </c>
      <c r="C2639" s="3">
        <v>0</v>
      </c>
      <c r="D2639" s="3">
        <v>0</v>
      </c>
      <c r="E2639" s="3">
        <v>0</v>
      </c>
      <c r="F2639" s="5">
        <v>0</v>
      </c>
    </row>
    <row r="2640" spans="1:6" ht="15" customHeight="1" x14ac:dyDescent="0.25">
      <c r="A2640" s="2" t="s">
        <v>1992</v>
      </c>
      <c r="B2640" s="2" t="s">
        <v>1993</v>
      </c>
      <c r="C2640" s="3">
        <v>0</v>
      </c>
      <c r="D2640" s="3">
        <v>0</v>
      </c>
      <c r="E2640" s="3">
        <v>0</v>
      </c>
      <c r="F2640" s="5">
        <v>0</v>
      </c>
    </row>
    <row r="2641" spans="1:7" ht="15" customHeight="1" x14ac:dyDescent="0.25">
      <c r="A2641" s="2" t="s">
        <v>1994</v>
      </c>
      <c r="B2641" s="2" t="s">
        <v>1995</v>
      </c>
      <c r="C2641" s="3">
        <v>0</v>
      </c>
      <c r="D2641" s="3">
        <v>0</v>
      </c>
      <c r="E2641" s="3">
        <v>0</v>
      </c>
      <c r="F2641" s="5">
        <v>0</v>
      </c>
    </row>
    <row r="2642" spans="1:7" ht="15" customHeight="1" x14ac:dyDescent="0.25">
      <c r="A2642" s="2" t="s">
        <v>1996</v>
      </c>
      <c r="B2642" s="2" t="s">
        <v>1997</v>
      </c>
      <c r="C2642" s="3">
        <v>40277.4</v>
      </c>
      <c r="D2642" s="3">
        <v>0</v>
      </c>
      <c r="E2642" s="3">
        <v>0</v>
      </c>
      <c r="F2642" s="5">
        <v>0</v>
      </c>
    </row>
    <row r="2643" spans="1:7" ht="15" customHeight="1" x14ac:dyDescent="0.25">
      <c r="A2643" s="1" t="s">
        <v>1998</v>
      </c>
      <c r="B2643" s="1" t="s">
        <v>2</v>
      </c>
      <c r="C2643" s="4">
        <v>715887.6</v>
      </c>
      <c r="D2643" s="4">
        <v>136493.92000000001</v>
      </c>
      <c r="E2643" s="6">
        <f>SUM(E2608:E2642)</f>
        <v>847290.92</v>
      </c>
      <c r="F2643" s="6">
        <f>SUM(F2608:F2642)</f>
        <v>0</v>
      </c>
    </row>
    <row r="2644" spans="1:7" x14ac:dyDescent="0.25">
      <c r="A2644" s="1" t="s">
        <v>2</v>
      </c>
      <c r="B2644" s="1" t="s">
        <v>2</v>
      </c>
      <c r="C2644" s="1" t="s">
        <v>2</v>
      </c>
      <c r="D2644" s="1" t="s">
        <v>2</v>
      </c>
      <c r="E2644" s="1" t="s">
        <v>2</v>
      </c>
      <c r="F2644" s="1" t="s">
        <v>2</v>
      </c>
    </row>
    <row r="2645" spans="1:7" ht="15" customHeight="1" x14ac:dyDescent="0.25">
      <c r="A2645" s="1" t="s">
        <v>1999</v>
      </c>
      <c r="B2645" s="1" t="s">
        <v>2</v>
      </c>
      <c r="C2645" s="4">
        <v>1260842.58</v>
      </c>
      <c r="D2645" s="4">
        <v>391524.14</v>
      </c>
      <c r="E2645" s="6">
        <f>E2643+SUM(E2583:E2605)</f>
        <v>1460066.29</v>
      </c>
      <c r="F2645" s="6">
        <f>F2643+SUM(F2583:F2605)</f>
        <v>0</v>
      </c>
    </row>
    <row r="2646" spans="1:7" ht="15" customHeight="1" x14ac:dyDescent="0.25">
      <c r="A2646" s="25" t="s">
        <v>3180</v>
      </c>
      <c r="B2646" s="25"/>
      <c r="C2646" s="33">
        <f>C2535+C2580-C2645</f>
        <v>306422.26999999979</v>
      </c>
      <c r="D2646" s="33">
        <f t="shared" ref="D2646:F2646" si="38">D2535+D2580-D2645</f>
        <v>582950.69999999995</v>
      </c>
      <c r="E2646" s="33">
        <f t="shared" si="38"/>
        <v>161165.43999999994</v>
      </c>
      <c r="F2646" s="33">
        <f t="shared" si="38"/>
        <v>161165.43999999994</v>
      </c>
      <c r="G2646" s="25"/>
    </row>
    <row r="2647" spans="1:7" x14ac:dyDescent="0.25">
      <c r="A2647" s="1" t="s">
        <v>2</v>
      </c>
      <c r="B2647" s="1" t="s">
        <v>2</v>
      </c>
      <c r="C2647" s="1" t="s">
        <v>2</v>
      </c>
      <c r="D2647" s="1" t="s">
        <v>2</v>
      </c>
      <c r="E2647" s="1" t="s">
        <v>2</v>
      </c>
      <c r="F2647" s="1" t="s">
        <v>2</v>
      </c>
    </row>
    <row r="2648" spans="1:7" ht="15" customHeight="1" x14ac:dyDescent="0.25">
      <c r="A2648" s="27" t="s">
        <v>3181</v>
      </c>
      <c r="B2648" s="27"/>
      <c r="C2648" s="28">
        <v>0</v>
      </c>
      <c r="D2648" s="28">
        <v>179</v>
      </c>
      <c r="E2648" s="28">
        <v>179</v>
      </c>
      <c r="F2648" s="28">
        <f>E2677</f>
        <v>179</v>
      </c>
      <c r="G2648" s="27"/>
    </row>
    <row r="2649" spans="1:7" x14ac:dyDescent="0.25">
      <c r="A2649" s="23" t="s">
        <v>2000</v>
      </c>
      <c r="B2649" s="23" t="s">
        <v>2</v>
      </c>
      <c r="C2649" s="29"/>
      <c r="D2649" s="29"/>
      <c r="E2649" s="29"/>
      <c r="F2649" s="29"/>
      <c r="G2649" s="29"/>
    </row>
    <row r="2650" spans="1:7" x14ac:dyDescent="0.25">
      <c r="A2650" s="23" t="s">
        <v>2026</v>
      </c>
      <c r="B2650" s="23" t="s">
        <v>2</v>
      </c>
      <c r="C2650" s="29"/>
      <c r="D2650" s="29"/>
      <c r="E2650" s="29"/>
      <c r="F2650" s="29"/>
      <c r="G2650" s="29"/>
    </row>
    <row r="2651" spans="1:7" x14ac:dyDescent="0.25">
      <c r="A2651" s="23" t="s">
        <v>2945</v>
      </c>
      <c r="B2651" s="23" t="s">
        <v>2</v>
      </c>
      <c r="C2651" s="29"/>
      <c r="D2651" s="29"/>
      <c r="E2651" s="29"/>
      <c r="F2651" s="29"/>
      <c r="G2651" s="29"/>
    </row>
    <row r="2652" spans="1:7" x14ac:dyDescent="0.25">
      <c r="A2652" s="30" t="s">
        <v>3182</v>
      </c>
      <c r="B2652" s="30" t="s">
        <v>3183</v>
      </c>
      <c r="C2652" s="31">
        <v>2066.08</v>
      </c>
      <c r="D2652" s="31">
        <v>586.54</v>
      </c>
      <c r="E2652" s="31">
        <v>0</v>
      </c>
      <c r="F2652" s="31">
        <v>0</v>
      </c>
      <c r="G2652" s="29"/>
    </row>
    <row r="2653" spans="1:7" x14ac:dyDescent="0.25">
      <c r="A2653" s="30" t="s">
        <v>3184</v>
      </c>
      <c r="B2653" s="30" t="s">
        <v>704</v>
      </c>
      <c r="C2653" s="31">
        <v>0</v>
      </c>
      <c r="D2653" s="31">
        <v>0</v>
      </c>
      <c r="E2653" s="31">
        <v>0</v>
      </c>
      <c r="F2653" s="31">
        <v>0</v>
      </c>
      <c r="G2653" s="29"/>
    </row>
    <row r="2654" spans="1:7" x14ac:dyDescent="0.25">
      <c r="A2654" s="30" t="s">
        <v>3185</v>
      </c>
      <c r="B2654" s="30" t="s">
        <v>3186</v>
      </c>
      <c r="C2654" s="31">
        <v>120358.47</v>
      </c>
      <c r="D2654" s="31">
        <v>32625.24</v>
      </c>
      <c r="E2654" s="31">
        <v>234000</v>
      </c>
      <c r="F2654" s="31">
        <v>0</v>
      </c>
      <c r="G2654" s="29"/>
    </row>
    <row r="2655" spans="1:7" x14ac:dyDescent="0.25">
      <c r="A2655" s="23" t="s">
        <v>2951</v>
      </c>
      <c r="B2655" s="23" t="s">
        <v>2</v>
      </c>
      <c r="C2655" s="32">
        <v>122424.55</v>
      </c>
      <c r="D2655" s="32">
        <v>33211.78</v>
      </c>
      <c r="E2655" s="32">
        <f>SUM(E2652:E2654)</f>
        <v>234000</v>
      </c>
      <c r="F2655" s="32">
        <f>SUM(F2652:F2654)</f>
        <v>0</v>
      </c>
      <c r="G2655" s="29"/>
    </row>
    <row r="2656" spans="1:7" x14ac:dyDescent="0.25">
      <c r="A2656" s="23" t="s">
        <v>2</v>
      </c>
      <c r="B2656" s="23" t="s">
        <v>2</v>
      </c>
      <c r="C2656" s="23" t="s">
        <v>2</v>
      </c>
      <c r="D2656" s="23" t="s">
        <v>2</v>
      </c>
      <c r="E2656" s="23" t="s">
        <v>2</v>
      </c>
      <c r="F2656" s="23" t="s">
        <v>2</v>
      </c>
      <c r="G2656" s="29"/>
    </row>
    <row r="2657" spans="1:7" x14ac:dyDescent="0.25">
      <c r="A2657" s="23" t="s">
        <v>2945</v>
      </c>
      <c r="B2657" s="23" t="s">
        <v>2</v>
      </c>
      <c r="C2657" s="29"/>
      <c r="D2657" s="29"/>
      <c r="E2657" s="29"/>
      <c r="F2657" s="29"/>
      <c r="G2657" s="29"/>
    </row>
    <row r="2658" spans="1:7" x14ac:dyDescent="0.25">
      <c r="A2658" s="30" t="s">
        <v>3187</v>
      </c>
      <c r="B2658" s="30" t="s">
        <v>3188</v>
      </c>
      <c r="C2658" s="31">
        <v>3320</v>
      </c>
      <c r="D2658" s="31">
        <v>1178.5</v>
      </c>
      <c r="E2658" s="31">
        <v>2000</v>
      </c>
      <c r="F2658" s="31">
        <v>0</v>
      </c>
      <c r="G2658" s="29"/>
    </row>
    <row r="2659" spans="1:7" x14ac:dyDescent="0.25">
      <c r="A2659" s="30" t="s">
        <v>3189</v>
      </c>
      <c r="B2659" s="30" t="s">
        <v>2007</v>
      </c>
      <c r="C2659" s="31">
        <v>4948</v>
      </c>
      <c r="D2659" s="31">
        <v>2673</v>
      </c>
      <c r="E2659" s="31">
        <v>3500</v>
      </c>
      <c r="F2659" s="31">
        <v>0</v>
      </c>
      <c r="G2659" s="29"/>
    </row>
    <row r="2660" spans="1:7" x14ac:dyDescent="0.25">
      <c r="A2660" s="30" t="s">
        <v>3190</v>
      </c>
      <c r="B2660" s="30" t="s">
        <v>2009</v>
      </c>
      <c r="C2660" s="31">
        <v>1828.5</v>
      </c>
      <c r="D2660" s="31">
        <v>768.5</v>
      </c>
      <c r="E2660" s="31">
        <v>1200</v>
      </c>
      <c r="F2660" s="31">
        <v>0</v>
      </c>
      <c r="G2660" s="29"/>
    </row>
    <row r="2661" spans="1:7" x14ac:dyDescent="0.25">
      <c r="A2661" s="23" t="s">
        <v>2951</v>
      </c>
      <c r="B2661" s="23" t="s">
        <v>2</v>
      </c>
      <c r="C2661" s="32">
        <v>10096.5</v>
      </c>
      <c r="D2661" s="32">
        <v>4620</v>
      </c>
      <c r="E2661" s="32">
        <f>SUM(E2658:E2660)</f>
        <v>6700</v>
      </c>
      <c r="F2661" s="32">
        <f>SUM(F2658:F2660)</f>
        <v>0</v>
      </c>
      <c r="G2661" s="29"/>
    </row>
    <row r="2662" spans="1:7" x14ac:dyDescent="0.25">
      <c r="A2662" s="23"/>
      <c r="B2662" s="23" t="s">
        <v>2</v>
      </c>
      <c r="C2662" s="23" t="s">
        <v>2</v>
      </c>
      <c r="D2662" s="23" t="s">
        <v>2</v>
      </c>
      <c r="E2662" s="23" t="s">
        <v>2</v>
      </c>
      <c r="F2662" s="23" t="s">
        <v>2</v>
      </c>
      <c r="G2662" s="29"/>
    </row>
    <row r="2663" spans="1:7" x14ac:dyDescent="0.25">
      <c r="A2663" s="23" t="s">
        <v>2014</v>
      </c>
      <c r="B2663" s="23" t="s">
        <v>2</v>
      </c>
      <c r="C2663" s="32">
        <v>132521.04999999999</v>
      </c>
      <c r="D2663" s="32">
        <v>37831.78</v>
      </c>
      <c r="E2663" s="32">
        <f>E2661+E2655</f>
        <v>240700</v>
      </c>
      <c r="F2663" s="32">
        <f>F2661+F2655</f>
        <v>0</v>
      </c>
      <c r="G2663" s="29"/>
    </row>
    <row r="2664" spans="1:7" x14ac:dyDescent="0.25">
      <c r="A2664" s="1" t="s">
        <v>740</v>
      </c>
      <c r="B2664" s="1" t="s">
        <v>2</v>
      </c>
      <c r="C2664" s="1" t="s">
        <v>2</v>
      </c>
      <c r="D2664" s="1" t="s">
        <v>2</v>
      </c>
      <c r="E2664" s="1" t="s">
        <v>2</v>
      </c>
      <c r="F2664" s="1" t="s">
        <v>2</v>
      </c>
    </row>
    <row r="2665" spans="1:7" x14ac:dyDescent="0.25">
      <c r="A2665" s="1" t="s">
        <v>2000</v>
      </c>
      <c r="B2665" s="1" t="s">
        <v>2</v>
      </c>
      <c r="C2665" s="40"/>
      <c r="E2665" s="40"/>
    </row>
    <row r="2666" spans="1:7" ht="15" customHeight="1" x14ac:dyDescent="0.25">
      <c r="A2666" s="1" t="s">
        <v>698</v>
      </c>
      <c r="B2666" s="1" t="s">
        <v>2</v>
      </c>
    </row>
    <row r="2667" spans="1:7" ht="15" customHeight="1" x14ac:dyDescent="0.25">
      <c r="A2667" s="2" t="s">
        <v>2001</v>
      </c>
      <c r="B2667" s="2" t="s">
        <v>2002</v>
      </c>
      <c r="C2667" s="3">
        <v>2066.08</v>
      </c>
      <c r="D2667" s="3">
        <v>480.26</v>
      </c>
      <c r="E2667" s="3">
        <v>4000</v>
      </c>
      <c r="F2667" s="5">
        <v>0</v>
      </c>
    </row>
    <row r="2668" spans="1:7" x14ac:dyDescent="0.25">
      <c r="A2668" s="2" t="s">
        <v>2003</v>
      </c>
      <c r="B2668" s="2" t="s">
        <v>2004</v>
      </c>
      <c r="C2668" s="3">
        <v>120358.47</v>
      </c>
      <c r="D2668" s="3">
        <v>26579.59</v>
      </c>
      <c r="E2668" s="3">
        <v>230000</v>
      </c>
      <c r="F2668" s="5">
        <v>0</v>
      </c>
    </row>
    <row r="2669" spans="1:7" ht="15" customHeight="1" x14ac:dyDescent="0.25">
      <c r="A2669" s="2" t="s">
        <v>2005</v>
      </c>
      <c r="B2669" s="2" t="s">
        <v>697</v>
      </c>
      <c r="C2669" s="3">
        <v>3320</v>
      </c>
      <c r="D2669" s="3">
        <v>775.5</v>
      </c>
      <c r="E2669" s="3">
        <v>2000</v>
      </c>
      <c r="F2669" s="5">
        <v>0</v>
      </c>
    </row>
    <row r="2670" spans="1:7" ht="15" customHeight="1" x14ac:dyDescent="0.25">
      <c r="A2670" s="2" t="s">
        <v>2006</v>
      </c>
      <c r="B2670" s="2" t="s">
        <v>2007</v>
      </c>
      <c r="C2670" s="3">
        <v>5074</v>
      </c>
      <c r="D2670" s="3">
        <v>1907</v>
      </c>
      <c r="E2670" s="3">
        <v>3500</v>
      </c>
      <c r="F2670" s="5">
        <v>0</v>
      </c>
    </row>
    <row r="2671" spans="1:7" ht="15" customHeight="1" x14ac:dyDescent="0.25">
      <c r="A2671" s="2" t="s">
        <v>2008</v>
      </c>
      <c r="B2671" s="2" t="s">
        <v>2009</v>
      </c>
      <c r="C2671" s="3">
        <v>1841.75</v>
      </c>
      <c r="D2671" s="3">
        <v>333.5</v>
      </c>
      <c r="E2671" s="3">
        <v>1200</v>
      </c>
      <c r="F2671" s="5">
        <v>0</v>
      </c>
    </row>
    <row r="2672" spans="1:7" ht="15" customHeight="1" x14ac:dyDescent="0.25">
      <c r="A2672" s="2" t="s">
        <v>2010</v>
      </c>
      <c r="B2672" s="2" t="s">
        <v>2011</v>
      </c>
      <c r="C2672" s="3">
        <v>-252</v>
      </c>
      <c r="D2672" s="3">
        <v>0</v>
      </c>
      <c r="E2672" s="3">
        <v>0</v>
      </c>
      <c r="F2672" s="5">
        <v>0</v>
      </c>
    </row>
    <row r="2673" spans="1:7" ht="15" customHeight="1" x14ac:dyDescent="0.25">
      <c r="A2673" s="2" t="s">
        <v>2012</v>
      </c>
      <c r="B2673" s="2" t="s">
        <v>2013</v>
      </c>
      <c r="C2673" s="3">
        <v>-66.25</v>
      </c>
      <c r="D2673" s="3">
        <v>0</v>
      </c>
      <c r="E2673" s="3">
        <v>0</v>
      </c>
      <c r="F2673" s="5">
        <v>0</v>
      </c>
    </row>
    <row r="2674" spans="1:7" ht="15" customHeight="1" x14ac:dyDescent="0.25">
      <c r="A2674" s="1" t="s">
        <v>705</v>
      </c>
      <c r="B2674" s="1" t="s">
        <v>2</v>
      </c>
      <c r="C2674" s="4">
        <v>132342.04999999999</v>
      </c>
      <c r="D2674" s="4">
        <v>30075.85</v>
      </c>
      <c r="E2674" s="6">
        <f>SUM(E2667:E2673)</f>
        <v>240700</v>
      </c>
      <c r="F2674" s="6">
        <f>SUM(F2667:F2673)</f>
        <v>0</v>
      </c>
    </row>
    <row r="2675" spans="1:7" x14ac:dyDescent="0.25">
      <c r="A2675" s="1" t="s">
        <v>2</v>
      </c>
      <c r="B2675" s="1" t="s">
        <v>2</v>
      </c>
      <c r="C2675" s="1" t="s">
        <v>2</v>
      </c>
      <c r="D2675" s="1" t="s">
        <v>2</v>
      </c>
      <c r="E2675" s="1" t="s">
        <v>2</v>
      </c>
      <c r="F2675" s="1" t="s">
        <v>2</v>
      </c>
    </row>
    <row r="2676" spans="1:7" ht="15" customHeight="1" x14ac:dyDescent="0.25">
      <c r="A2676" s="1" t="s">
        <v>2014</v>
      </c>
      <c r="B2676" s="1" t="s">
        <v>2</v>
      </c>
      <c r="C2676" s="4">
        <v>132342.04999999999</v>
      </c>
      <c r="D2676" s="4">
        <v>30075.85</v>
      </c>
      <c r="E2676" s="6">
        <f>E2674</f>
        <v>240700</v>
      </c>
      <c r="F2676" s="6">
        <f>F2674</f>
        <v>0</v>
      </c>
    </row>
    <row r="2677" spans="1:7" ht="15" customHeight="1" x14ac:dyDescent="0.25">
      <c r="A2677" s="25" t="s">
        <v>3191</v>
      </c>
      <c r="B2677" s="25"/>
      <c r="C2677" s="33">
        <f>C2648+C2663-C2676</f>
        <v>179</v>
      </c>
      <c r="D2677" s="33">
        <f t="shared" ref="D2677:F2677" si="39">D2648+D2663-D2676</f>
        <v>7934.93</v>
      </c>
      <c r="E2677" s="33">
        <f t="shared" si="39"/>
        <v>179</v>
      </c>
      <c r="F2677" s="33">
        <f t="shared" si="39"/>
        <v>179</v>
      </c>
      <c r="G2677" s="25"/>
    </row>
    <row r="2678" spans="1:7" x14ac:dyDescent="0.25">
      <c r="A2678" s="1" t="s">
        <v>2</v>
      </c>
      <c r="B2678" s="1" t="s">
        <v>2</v>
      </c>
      <c r="C2678" s="1" t="s">
        <v>2</v>
      </c>
      <c r="D2678" s="1" t="s">
        <v>2</v>
      </c>
      <c r="E2678" s="1" t="s">
        <v>2</v>
      </c>
      <c r="F2678" s="6" t="str">
        <f>F2675</f>
        <v/>
      </c>
    </row>
    <row r="2679" spans="1:7" ht="15" customHeight="1" x14ac:dyDescent="0.25">
      <c r="A2679" s="27" t="s">
        <v>3192</v>
      </c>
      <c r="B2679" s="27"/>
      <c r="C2679" s="28">
        <v>11263.91</v>
      </c>
      <c r="D2679" s="28">
        <v>7965.59</v>
      </c>
      <c r="E2679" s="28">
        <v>7965.59</v>
      </c>
      <c r="F2679" s="28">
        <f>E2687</f>
        <v>7965.5899999999965</v>
      </c>
      <c r="G2679" s="27"/>
    </row>
    <row r="2680" spans="1:7" x14ac:dyDescent="0.25">
      <c r="A2680" s="23" t="s">
        <v>2015</v>
      </c>
      <c r="B2680" s="23" t="s">
        <v>2</v>
      </c>
      <c r="C2680" s="29"/>
      <c r="D2680" s="29"/>
      <c r="E2680" s="29"/>
      <c r="F2680" s="29"/>
      <c r="G2680" s="29"/>
    </row>
    <row r="2681" spans="1:7" x14ac:dyDescent="0.25">
      <c r="A2681" s="30" t="s">
        <v>3193</v>
      </c>
      <c r="B2681" s="30" t="s">
        <v>3194</v>
      </c>
      <c r="C2681" s="31">
        <v>8953.64</v>
      </c>
      <c r="D2681" s="31">
        <v>736.8</v>
      </c>
      <c r="E2681" s="31">
        <v>50000</v>
      </c>
      <c r="F2681" s="31">
        <v>0</v>
      </c>
      <c r="G2681" s="29"/>
    </row>
    <row r="2682" spans="1:7" x14ac:dyDescent="0.25">
      <c r="A2682" s="23" t="s">
        <v>2018</v>
      </c>
      <c r="B2682" s="23" t="s">
        <v>2</v>
      </c>
      <c r="C2682" s="32">
        <v>8953.64</v>
      </c>
      <c r="D2682" s="32">
        <v>736.8</v>
      </c>
      <c r="E2682" s="32">
        <f>SUM(E2681)</f>
        <v>50000</v>
      </c>
      <c r="F2682" s="32">
        <f>SUM(F2681)</f>
        <v>0</v>
      </c>
      <c r="G2682" s="29"/>
    </row>
    <row r="2683" spans="1:7" x14ac:dyDescent="0.25">
      <c r="A2683" s="1" t="s">
        <v>740</v>
      </c>
      <c r="B2683" s="1"/>
      <c r="C2683" s="4"/>
      <c r="D2683" s="4"/>
      <c r="E2683" s="6"/>
      <c r="F2683" s="6"/>
    </row>
    <row r="2684" spans="1:7" x14ac:dyDescent="0.25">
      <c r="A2684" s="1" t="s">
        <v>2015</v>
      </c>
      <c r="B2684" s="1" t="s">
        <v>2</v>
      </c>
      <c r="C2684" s="40"/>
      <c r="E2684" s="40"/>
    </row>
    <row r="2685" spans="1:7" ht="15" customHeight="1" x14ac:dyDescent="0.25">
      <c r="A2685" s="2" t="s">
        <v>2016</v>
      </c>
      <c r="B2685" s="2" t="s">
        <v>2017</v>
      </c>
      <c r="C2685" s="3">
        <v>12251.96</v>
      </c>
      <c r="D2685" s="3">
        <v>5327.96</v>
      </c>
      <c r="E2685" s="3">
        <v>50000</v>
      </c>
      <c r="F2685" s="5">
        <v>0</v>
      </c>
    </row>
    <row r="2686" spans="1:7" ht="15" customHeight="1" x14ac:dyDescent="0.25">
      <c r="A2686" s="1" t="s">
        <v>2018</v>
      </c>
      <c r="B2686" s="1" t="s">
        <v>2</v>
      </c>
      <c r="C2686" s="4">
        <v>12251.96</v>
      </c>
      <c r="D2686" s="4">
        <v>5327.96</v>
      </c>
      <c r="E2686" s="4">
        <f>SUM(E2685)</f>
        <v>50000</v>
      </c>
      <c r="F2686" s="6">
        <f>SUM(F2685)</f>
        <v>0</v>
      </c>
    </row>
    <row r="2687" spans="1:7" ht="15" customHeight="1" x14ac:dyDescent="0.25">
      <c r="A2687" s="25" t="s">
        <v>3195</v>
      </c>
      <c r="B2687" s="25" t="s">
        <v>2</v>
      </c>
      <c r="C2687" s="33">
        <f>C2679+C2682-C2686</f>
        <v>7965.59</v>
      </c>
      <c r="D2687" s="33">
        <f t="shared" ref="D2687:F2687" si="40">D2679+D2682-D2686</f>
        <v>3374.4299999999994</v>
      </c>
      <c r="E2687" s="33">
        <f t="shared" si="40"/>
        <v>7965.5899999999965</v>
      </c>
      <c r="F2687" s="33">
        <f t="shared" si="40"/>
        <v>7965.5899999999965</v>
      </c>
      <c r="G2687" s="25"/>
    </row>
    <row r="2688" spans="1:7" x14ac:dyDescent="0.25">
      <c r="A2688" s="2" t="s">
        <v>2</v>
      </c>
      <c r="B2688" s="2" t="s">
        <v>2</v>
      </c>
      <c r="C2688" s="2" t="s">
        <v>2</v>
      </c>
      <c r="D2688" s="2" t="s">
        <v>2</v>
      </c>
      <c r="E2688" s="2" t="s">
        <v>2</v>
      </c>
      <c r="F2688" s="2" t="s">
        <v>2</v>
      </c>
    </row>
    <row r="2689" spans="1:7" x14ac:dyDescent="0.25">
      <c r="A2689" s="2"/>
      <c r="B2689" s="2"/>
      <c r="C2689" s="2"/>
      <c r="D2689" s="2"/>
      <c r="E2689" s="2"/>
      <c r="F2689" s="2"/>
    </row>
    <row r="2690" spans="1:7" x14ac:dyDescent="0.25">
      <c r="A2690" s="2"/>
      <c r="B2690" s="2"/>
      <c r="C2690" s="2"/>
      <c r="D2690" s="2"/>
      <c r="E2690" s="2"/>
      <c r="F2690" s="2"/>
    </row>
    <row r="2691" spans="1:7" ht="15" customHeight="1" x14ac:dyDescent="0.25">
      <c r="A2691" s="42"/>
      <c r="B2691" s="43" t="s">
        <v>3198</v>
      </c>
      <c r="C2691" s="44">
        <f>C789+C809+C830+C853+C896+C926+C1187+C1212+C1243+C1267+C1286+C1309+C1325+C1343+C1373+C1404+C1443+C1457+C1483+C1528+C1556+C1570+C1588+C1605+C1626+C1670+C1912+C2123+C2175+C2196+C2388+C2429+C2444+C2457+C2470+C2488+C2532+C2645+C2676+C2686</f>
        <v>44839848.600000001</v>
      </c>
      <c r="D2691" s="44">
        <f>D789+D809+D830+D853+D896+D926+D1187+D1212+D1243+D1267+D1286+D1309+D1325+D1343+D1373+D1404+D1443+D1457+D1483+D1528+D1556+D1570+D1588+D1605+D1626+D1670+D1912+D2123+D2175+D2196+D2388+D2429+D2444+D2457+D2470+D2488+D2532+D2645+D2676+D2686</f>
        <v>13820418.780000003</v>
      </c>
      <c r="E2691" s="44">
        <f>E789+E809+E830+E853+E896+E926+E1187+E1212+E1243+E1267+E1286+E1309+E1325+E1343+E1373+E1404+E1443+E1457+E1483+E1528+E1556+E1570+E1588+E1605+E1626+E1670+E1912+E2123+E2175+E2196+E2388+E2429+E2444+E2457+E2470+E2488+E2532+E2645+E2676+E2686</f>
        <v>73093404.340000004</v>
      </c>
      <c r="F2691" s="44">
        <f>F789+F809+F830+F853+F896+F926+F1187+F1212+F1243+F1267+F1286+F1309+F1325+F1343+F1373+F1404+F1443+F1457+F1483+F1528+F1556+F1570+F1588+F1605+F1626+F1670+F1912+F2123+F2175+F2196+F2388+F2429+F2444+F2457+F2470+F2488+F2532+F2645+F2676+F2686</f>
        <v>0</v>
      </c>
      <c r="G2691" s="45"/>
    </row>
    <row r="2692" spans="1:7" x14ac:dyDescent="0.25">
      <c r="A2692" s="42"/>
      <c r="B2692" s="43" t="s">
        <v>3199</v>
      </c>
      <c r="C2692" s="46">
        <f>C303+C806+C827+C848+C881+C909+C1013+C1206+C1236+C1261+C1283+C1303+C1316+C1331+C1356+C1391+C1428+C1454+C1472+C1513+C1544+C1566+C1579+C1598+C1616+C1651+C1754+C1974+C2142+C2187+C2208+C2288+C2411+C2438+C2452+C2465+C2480+C2514+C2580+C2663+C2682</f>
        <v>59601885.990000002</v>
      </c>
      <c r="D2692" s="46">
        <f>D303+D806+D827+D848+D881+D909+D1013+D1206+D1236+D1261+D1283+D1303+D1316+D1331+D1356+D1391+D1428+D1454+D1472+D1513+D1544+D1566+D1579+D1598+D1616+D1651+D1754+D1974+D2142+D2187+D2208+D2288+D2411+D2438+D2452+D2465+D2480+D2514+D2580+D2663+D2682</f>
        <v>17637851.070000004</v>
      </c>
      <c r="E2692" s="46">
        <f>E303+E806+E827+E848+E881+E909+E1013+E1206+E1236+E1261+E1283+E1303+E1316+E1331+E1356+E1391+E1428+E1454+E1472+E1513+E1544+E1566+E1579+E1598+E1616+E1651+E1754+E1974+E2142+E2187+E2208+E2288+E2411+E2438+E2452+E2465+E2480+E2514+E2580+E2663+E2682</f>
        <v>67891463.549999997</v>
      </c>
      <c r="F2692" s="46">
        <f>F303+F806+F827+F848+F881+F909+F1013+F1206+F1236+F1261+F1283+F1303+F1316+F1331+F1356+F1391+F1428+F1454+F1472+F1513+F1544+F1566+F1579+F1598+F1616+F1651+F1754+F1974+F2142+F2187+F2208+F2288+F2411+F2438+F2452+F2465+F2480+F2514+F2580+F2663+F2682</f>
        <v>0</v>
      </c>
      <c r="G2692" s="45"/>
    </row>
    <row r="2693" spans="1:7" x14ac:dyDescent="0.25">
      <c r="A2693" s="1" t="s">
        <v>2</v>
      </c>
      <c r="B2693" s="1" t="s">
        <v>2</v>
      </c>
      <c r="C2693" s="1" t="s">
        <v>2</v>
      </c>
      <c r="D2693" s="1" t="s">
        <v>2</v>
      </c>
      <c r="E2693" s="4"/>
      <c r="F2693" s="4"/>
    </row>
    <row r="2694" spans="1:7" x14ac:dyDescent="0.25">
      <c r="B2694" s="1" t="s">
        <v>3196</v>
      </c>
      <c r="C2694" s="4">
        <f>C6+C792+C812+C833+C856+C899+C929+C1190+C1215+C1246+C1270+C1289+C1312+C1328+C1346+C1376+C1407+C1446+C1460+C1486+C1531+C1559+C1573+C1591+C1608+C1629+C1673+C1915+C2126+C2178+C2199+C2211+C2391+C2432+C2447+C2460+C2473+C2491+C2535+C2648+C2679</f>
        <v>31766718.070000004</v>
      </c>
      <c r="D2694" s="4">
        <f>D6+D792+D812+D833+D856+D899+D929+D1190+D1215+D1246+D1270+D1289+D1312+D1328+D1346+D1376+D1407+D1446+D1460+D1486+D1531+D1559+D1573+D1591+D1608+D1629+D1673+D1915+D2126+D2178+D2199+D2211+D2391+D2432+D2447+D2460+D2473+D2491+D2535+D2648+D2679</f>
        <v>46528755.460000016</v>
      </c>
      <c r="E2694" s="4">
        <f>E6+E792+E812+E833+E856+E899+E929+E1190+E1215+E1246+E1270+E1289+E1312+E1328+E1346+E1376+E1407+E1446+E1460+E1486+E1531+E1559+E1573+E1591+E1608+E1629+E1673+E1915+E2126+E2178+E2199+E2211+E2391+E2432+E2447+E2460+E2473+E2491+E2535+E2648+E2679</f>
        <v>46528755.460000016</v>
      </c>
      <c r="F2694" s="4">
        <f>F6+F792+F812+F833+F856+F899+F929+F1190+F1215+F1246+F1270+F1289+F1312+F1328+F1346+F1376+F1407+F1446+F1460+F1486+F1531+F1559+F1573+F1591+F1608+F1629+F1673+F1915+F2126+F2178+F2199+F2211+F2391+F2432+F2447+F2460+F2473+F2491+F2535+F2648+F2679</f>
        <v>41326814.670000002</v>
      </c>
    </row>
    <row r="2695" spans="1:7" x14ac:dyDescent="0.25">
      <c r="B2695" s="1" t="s">
        <v>3197</v>
      </c>
      <c r="C2695" s="4">
        <f>C790+C810+C831+C854+C897+C927+C1188+C1213+C1244+C1268+C1287+C1310+C1326+C1344+C1374+C1405+C1444+C1458+C1484+C1529+C1557+C1571+C1589+C1606+C1627+C1671+C1913+C2124+C2176+C2197+C2209+C2389+C2430+C2445+C2458+C2471+C2489+C2533+C2646+C2677+C2687</f>
        <v>46528755.460000008</v>
      </c>
      <c r="D2695" s="4">
        <f>D790+D810+D831+D854+D897+D927+D1188+D1213+D1244+D1268+D1287+D1310+D1326+D1344+D1374+D1405+D1444+D1458+D1484+D1529+D1557+D1571+D1589+D1606+D1627+D1671+D1913+D2124+D2176+D2197+D2209+D2389+D2430+D2445+D2458+D2471+D2489+D2533+D2646+D2677+D2687</f>
        <v>50346187.749999993</v>
      </c>
      <c r="E2695" s="4">
        <f>E790+E810+E831+E854+E897+E927+E1188+E1213+E1244+E1268+E1287+E1310+E1326+E1344+E1374+E1405+E1444+E1458+E1484+E1529+E1557+E1571+E1589+E1606+E1627+E1671+E1913+E2124+E2176+E2197+E2209+E2389+E2430+E2445+E2458+E2471+E2489+E2533+E2646+E2677+E2687</f>
        <v>41326814.670000002</v>
      </c>
      <c r="F2695" s="4">
        <f>F790+F810+F831+F854+F897+F927+F1188+F1213+F1244+F1268+F1287+F1310+F1326+F1344+F1374+F1405+F1444+F1458+F1484+F1529+F1557+F1571+F1589+F1606+F1627+F1671+F1913+F2124+F2176+F2197+F2209+F2389+F2430+F2445+F2458+F2471+F2489+F2533+F2646+F2677+F2687</f>
        <v>41326814.670000002</v>
      </c>
    </row>
    <row r="2696" spans="1:7" x14ac:dyDescent="0.25">
      <c r="B2696" s="1"/>
      <c r="C2696" s="4"/>
      <c r="D2696" s="4"/>
      <c r="E2696" s="4"/>
      <c r="F2696" s="4"/>
    </row>
    <row r="2697" spans="1:7" x14ac:dyDescent="0.25">
      <c r="B2697" s="1"/>
      <c r="C2697" s="4"/>
      <c r="D2697" s="4"/>
      <c r="E2697" s="4"/>
      <c r="F2697" s="4"/>
    </row>
    <row r="2698" spans="1:7" x14ac:dyDescent="0.25">
      <c r="D2698" s="41"/>
    </row>
    <row r="2699" spans="1:7" x14ac:dyDescent="0.25">
      <c r="C2699" s="41">
        <f>C2694+C2692-C2691</f>
        <v>46528755.460000001</v>
      </c>
      <c r="D2699" s="41">
        <f t="shared" ref="D2699:F2699" si="41">D2694+D2692-D2691</f>
        <v>50346187.750000015</v>
      </c>
      <c r="E2699" s="41">
        <f t="shared" si="41"/>
        <v>41326814.670000017</v>
      </c>
      <c r="F2699" s="41">
        <f t="shared" si="41"/>
        <v>41326814.670000002</v>
      </c>
    </row>
    <row r="2700" spans="1:7" x14ac:dyDescent="0.25">
      <c r="C2700" s="41">
        <f>C2699-C2695</f>
        <v>0</v>
      </c>
      <c r="D2700" s="41">
        <f t="shared" ref="D2700:F2700" si="42">D2699-D2695</f>
        <v>0</v>
      </c>
      <c r="E2700" s="41">
        <f t="shared" si="42"/>
        <v>0</v>
      </c>
      <c r="F2700" s="41">
        <f t="shared" si="42"/>
        <v>0</v>
      </c>
    </row>
  </sheetData>
  <mergeCells count="1">
    <mergeCell ref="A2:G2"/>
  </mergeCells>
  <pageMargins left="0.5" right="0.5" top="0.5" bottom="0.9" header="0.5" footer="0.5"/>
  <pageSetup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F99BA-88B4-4162-8796-29DAC4F64910}">
  <dimension ref="A1:L2715"/>
  <sheetViews>
    <sheetView showGridLines="0" zoomScale="110" zoomScaleNormal="110" workbookViewId="0">
      <pane ySplit="4" topLeftCell="A5" activePane="bottomLeft" state="frozen"/>
      <selection activeCell="A1078" sqref="A1078"/>
      <selection pane="bottomLeft" activeCell="A1078" sqref="A1078"/>
    </sheetView>
  </sheetViews>
  <sheetFormatPr defaultRowHeight="15" x14ac:dyDescent="0.25"/>
  <cols>
    <col min="1" max="1" width="29" customWidth="1"/>
    <col min="2" max="2" width="49" customWidth="1"/>
    <col min="3" max="7" width="16.7109375" customWidth="1"/>
    <col min="8" max="8" width="44.7109375" customWidth="1"/>
    <col min="9" max="9" width="14.7109375" customWidth="1"/>
    <col min="11" max="12" width="13.7109375" customWidth="1"/>
  </cols>
  <sheetData>
    <row r="1" spans="1:12" ht="26.25" customHeight="1" x14ac:dyDescent="0.25"/>
    <row r="2" spans="1:12" ht="41.25" customHeight="1" x14ac:dyDescent="0.25">
      <c r="A2" s="329" t="s">
        <v>2019</v>
      </c>
      <c r="B2" s="329"/>
      <c r="C2" s="329"/>
      <c r="D2" s="329"/>
      <c r="E2" s="329"/>
      <c r="F2" s="329"/>
      <c r="G2" s="329"/>
      <c r="H2" s="329"/>
    </row>
    <row r="3" spans="1:12" ht="18" customHeight="1" x14ac:dyDescent="0.5">
      <c r="A3" s="8"/>
    </row>
    <row r="4" spans="1:12" ht="24" customHeight="1" x14ac:dyDescent="0.25">
      <c r="A4" s="9" t="s">
        <v>0</v>
      </c>
      <c r="B4" s="10" t="s">
        <v>1</v>
      </c>
      <c r="C4" s="9" t="s">
        <v>2020</v>
      </c>
      <c r="D4" s="9" t="s">
        <v>2021</v>
      </c>
      <c r="E4" s="9" t="s">
        <v>3202</v>
      </c>
      <c r="F4" s="9" t="s">
        <v>2022</v>
      </c>
      <c r="G4" s="9" t="s">
        <v>2023</v>
      </c>
      <c r="H4" s="11" t="s">
        <v>2024</v>
      </c>
      <c r="K4" s="47" t="s">
        <v>3200</v>
      </c>
      <c r="L4" s="47" t="s">
        <v>3201</v>
      </c>
    </row>
    <row r="5" spans="1:12" ht="15" customHeight="1" x14ac:dyDescent="0.25">
      <c r="A5" s="1" t="s">
        <v>3</v>
      </c>
      <c r="B5" s="1" t="s">
        <v>2</v>
      </c>
    </row>
    <row r="6" spans="1:12" x14ac:dyDescent="0.25">
      <c r="A6" s="12" t="s">
        <v>2025</v>
      </c>
      <c r="B6" s="13" t="s">
        <v>2</v>
      </c>
      <c r="C6" s="15">
        <v>5394903.2000000002</v>
      </c>
      <c r="D6" s="15">
        <v>6294005.1399999997</v>
      </c>
      <c r="E6" s="15">
        <v>6294005.1399999997</v>
      </c>
      <c r="F6" s="15">
        <v>6294005.1399999997</v>
      </c>
      <c r="G6" s="15">
        <f>F793</f>
        <v>4060221.9399999976</v>
      </c>
      <c r="H6" s="14"/>
    </row>
    <row r="7" spans="1:12" s="7" customFormat="1" x14ac:dyDescent="0.25">
      <c r="A7" s="16" t="s">
        <v>2026</v>
      </c>
      <c r="B7" s="16" t="s">
        <v>2</v>
      </c>
      <c r="C7" s="17"/>
      <c r="D7" s="17"/>
      <c r="E7" s="17"/>
      <c r="F7" s="17"/>
      <c r="G7" s="17"/>
      <c r="H7" s="17"/>
      <c r="K7"/>
      <c r="L7"/>
    </row>
    <row r="8" spans="1:12" s="7" customFormat="1" x14ac:dyDescent="0.25">
      <c r="A8" s="16" t="s">
        <v>2027</v>
      </c>
      <c r="B8" s="16" t="s">
        <v>2</v>
      </c>
      <c r="C8" s="17"/>
      <c r="D8" s="17"/>
      <c r="E8" s="17"/>
      <c r="F8" s="17"/>
      <c r="G8" s="17"/>
      <c r="H8" s="17"/>
      <c r="K8"/>
      <c r="L8"/>
    </row>
    <row r="9" spans="1:12" s="7" customFormat="1" x14ac:dyDescent="0.25">
      <c r="A9" s="18" t="s">
        <v>2028</v>
      </c>
      <c r="B9" s="18" t="s">
        <v>2029</v>
      </c>
      <c r="C9" s="19">
        <v>1846247.86</v>
      </c>
      <c r="D9" s="19">
        <v>1013339.57</v>
      </c>
      <c r="E9" s="19">
        <v>1082296.72</v>
      </c>
      <c r="F9" s="19">
        <v>1893569.82</v>
      </c>
      <c r="G9" s="19">
        <v>1932235.22</v>
      </c>
      <c r="H9" s="17"/>
      <c r="I9"/>
      <c r="K9"/>
      <c r="L9"/>
    </row>
    <row r="10" spans="1:12" s="7" customFormat="1" x14ac:dyDescent="0.25">
      <c r="A10" s="18" t="s">
        <v>2030</v>
      </c>
      <c r="B10" s="18" t="s">
        <v>2031</v>
      </c>
      <c r="C10" s="19">
        <v>3389639.95</v>
      </c>
      <c r="D10" s="19">
        <v>1552900.96</v>
      </c>
      <c r="E10" s="19">
        <v>3010390.78</v>
      </c>
      <c r="F10" s="19">
        <v>2800000</v>
      </c>
      <c r="G10" s="19">
        <f>F10*1.05</f>
        <v>2940000</v>
      </c>
      <c r="H10" s="17"/>
      <c r="K10"/>
      <c r="L10"/>
    </row>
    <row r="11" spans="1:12" s="7" customFormat="1" x14ac:dyDescent="0.25">
      <c r="A11" s="18" t="s">
        <v>2032</v>
      </c>
      <c r="B11" s="18" t="s">
        <v>2033</v>
      </c>
      <c r="C11" s="19">
        <v>235029.56</v>
      </c>
      <c r="D11" s="19">
        <v>106508.38</v>
      </c>
      <c r="E11" s="19">
        <v>202656.66</v>
      </c>
      <c r="F11" s="19">
        <v>201600</v>
      </c>
      <c r="G11" s="19">
        <f>F11*1.05</f>
        <v>211680</v>
      </c>
      <c r="H11" s="17"/>
      <c r="K11"/>
      <c r="L11"/>
    </row>
    <row r="12" spans="1:12" s="7" customFormat="1" x14ac:dyDescent="0.25">
      <c r="A12" s="18" t="s">
        <v>2034</v>
      </c>
      <c r="B12" s="18" t="s">
        <v>2035</v>
      </c>
      <c r="C12" s="19">
        <v>3746.59</v>
      </c>
      <c r="D12" s="19">
        <v>2001.99</v>
      </c>
      <c r="E12" s="19">
        <v>3771.53</v>
      </c>
      <c r="F12" s="19">
        <v>4000</v>
      </c>
      <c r="G12" s="19">
        <v>4000</v>
      </c>
      <c r="H12" s="17"/>
      <c r="K12"/>
      <c r="L12"/>
    </row>
    <row r="13" spans="1:12" s="7" customFormat="1" x14ac:dyDescent="0.25">
      <c r="A13" s="18" t="s">
        <v>2036</v>
      </c>
      <c r="B13" s="18" t="s">
        <v>2037</v>
      </c>
      <c r="C13" s="19">
        <v>611094.72</v>
      </c>
      <c r="D13" s="19">
        <v>402745.69</v>
      </c>
      <c r="E13" s="19">
        <v>620225.63</v>
      </c>
      <c r="F13" s="19">
        <v>570000</v>
      </c>
      <c r="G13" s="19">
        <v>620000</v>
      </c>
      <c r="H13" s="17"/>
      <c r="K13"/>
      <c r="L13"/>
    </row>
    <row r="14" spans="1:12" s="7" customFormat="1" x14ac:dyDescent="0.25">
      <c r="A14" s="18" t="s">
        <v>2038</v>
      </c>
      <c r="B14" s="18" t="s">
        <v>2039</v>
      </c>
      <c r="C14" s="19">
        <v>238609.16</v>
      </c>
      <c r="D14" s="19">
        <v>228363.91</v>
      </c>
      <c r="E14" s="19">
        <v>281674.71999999997</v>
      </c>
      <c r="F14" s="19">
        <v>200000</v>
      </c>
      <c r="G14" s="19">
        <v>280000</v>
      </c>
      <c r="H14" s="17"/>
      <c r="K14"/>
      <c r="L14"/>
    </row>
    <row r="15" spans="1:12" s="7" customFormat="1" x14ac:dyDescent="0.25">
      <c r="A15" s="18" t="s">
        <v>2040</v>
      </c>
      <c r="B15" s="18" t="s">
        <v>2041</v>
      </c>
      <c r="C15" s="19">
        <v>158626.38</v>
      </c>
      <c r="D15" s="19">
        <v>73614.05</v>
      </c>
      <c r="E15" s="19">
        <v>120351.16</v>
      </c>
      <c r="F15" s="19">
        <v>150000</v>
      </c>
      <c r="G15" s="19">
        <v>150000</v>
      </c>
      <c r="H15" s="17"/>
      <c r="K15"/>
      <c r="L15"/>
    </row>
    <row r="16" spans="1:12" s="7" customFormat="1" x14ac:dyDescent="0.25">
      <c r="A16" s="18" t="s">
        <v>2042</v>
      </c>
      <c r="B16" s="18" t="s">
        <v>2043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  <c r="H16" s="17"/>
      <c r="K16"/>
      <c r="L16"/>
    </row>
    <row r="17" spans="1:12" s="7" customFormat="1" x14ac:dyDescent="0.25">
      <c r="A17" s="18" t="s">
        <v>2044</v>
      </c>
      <c r="B17" s="18" t="s">
        <v>2045</v>
      </c>
      <c r="C17" s="19">
        <v>1243001.56</v>
      </c>
      <c r="D17" s="19">
        <v>460296.49</v>
      </c>
      <c r="E17" s="19">
        <v>867016.12</v>
      </c>
      <c r="F17" s="19">
        <v>1083618.0900000001</v>
      </c>
      <c r="G17" s="19">
        <v>1100000</v>
      </c>
      <c r="H17" s="17"/>
      <c r="I17" s="21"/>
      <c r="K17"/>
      <c r="L17"/>
    </row>
    <row r="18" spans="1:12" s="7" customFormat="1" x14ac:dyDescent="0.25">
      <c r="A18" s="30" t="s">
        <v>3203</v>
      </c>
      <c r="B18" s="30" t="s">
        <v>3204</v>
      </c>
      <c r="C18" s="19">
        <v>0</v>
      </c>
      <c r="D18" s="19"/>
      <c r="E18" s="19">
        <v>432.24</v>
      </c>
      <c r="F18" s="19">
        <v>0</v>
      </c>
      <c r="G18" s="19">
        <v>0</v>
      </c>
      <c r="H18" s="17"/>
      <c r="I18" s="21"/>
      <c r="K18"/>
      <c r="L18"/>
    </row>
    <row r="19" spans="1:12" s="7" customFormat="1" x14ac:dyDescent="0.25">
      <c r="A19" s="16" t="s">
        <v>2046</v>
      </c>
      <c r="B19" s="16" t="s">
        <v>2</v>
      </c>
      <c r="C19" s="20">
        <v>7725995.7800000003</v>
      </c>
      <c r="D19" s="20">
        <v>3839771.04</v>
      </c>
      <c r="E19" s="20">
        <f>SUM(E9:E18)</f>
        <v>6188815.5600000005</v>
      </c>
      <c r="F19" s="20">
        <f>SUM(F9:F18)</f>
        <v>6902787.9100000001</v>
      </c>
      <c r="G19" s="20">
        <f>SUM(G9:G17)</f>
        <v>7237915.2199999997</v>
      </c>
      <c r="H19" s="17"/>
      <c r="K19"/>
      <c r="L19"/>
    </row>
    <row r="20" spans="1:12" s="7" customFormat="1" x14ac:dyDescent="0.25">
      <c r="A20" s="16" t="s">
        <v>2</v>
      </c>
      <c r="B20" s="16" t="s">
        <v>2</v>
      </c>
      <c r="C20" s="16" t="s">
        <v>2</v>
      </c>
      <c r="D20" s="16" t="s">
        <v>2</v>
      </c>
      <c r="E20" s="16"/>
      <c r="F20" s="16" t="s">
        <v>2</v>
      </c>
      <c r="G20" s="16" t="s">
        <v>2</v>
      </c>
      <c r="H20" s="17"/>
      <c r="K20"/>
      <c r="L20"/>
    </row>
    <row r="21" spans="1:12" s="7" customFormat="1" x14ac:dyDescent="0.25">
      <c r="A21" s="16" t="s">
        <v>2048</v>
      </c>
      <c r="B21" s="16" t="s">
        <v>2</v>
      </c>
      <c r="C21" s="17"/>
      <c r="D21" s="17"/>
      <c r="E21" s="17"/>
      <c r="F21" s="17"/>
      <c r="G21" s="17"/>
      <c r="H21" s="17"/>
      <c r="K21"/>
      <c r="L21"/>
    </row>
    <row r="22" spans="1:12" s="7" customFormat="1" ht="24" x14ac:dyDescent="0.25">
      <c r="A22" s="16" t="s">
        <v>2049</v>
      </c>
      <c r="B22" s="16" t="s">
        <v>2</v>
      </c>
      <c r="C22" s="17"/>
      <c r="D22" s="17"/>
      <c r="E22" s="17"/>
      <c r="F22" s="17"/>
      <c r="G22" s="17"/>
      <c r="H22" s="17"/>
      <c r="K22"/>
      <c r="L22"/>
    </row>
    <row r="23" spans="1:12" s="7" customFormat="1" x14ac:dyDescent="0.25">
      <c r="A23" s="18" t="s">
        <v>2050</v>
      </c>
      <c r="B23" s="18" t="s">
        <v>2051</v>
      </c>
      <c r="C23" s="19">
        <v>167738.74</v>
      </c>
      <c r="D23" s="19">
        <v>87620.32</v>
      </c>
      <c r="E23" s="19">
        <v>131444.12</v>
      </c>
      <c r="F23" s="19">
        <v>164000</v>
      </c>
      <c r="G23" s="19">
        <v>165000</v>
      </c>
      <c r="H23" s="17"/>
      <c r="K23"/>
      <c r="L23"/>
    </row>
    <row r="24" spans="1:12" s="7" customFormat="1" x14ac:dyDescent="0.25">
      <c r="A24" s="18" t="s">
        <v>2052</v>
      </c>
      <c r="B24" s="18" t="s">
        <v>2053</v>
      </c>
      <c r="C24" s="19">
        <v>166846.68</v>
      </c>
      <c r="D24" s="19">
        <v>190352.6</v>
      </c>
      <c r="E24" s="19">
        <v>190352.6</v>
      </c>
      <c r="F24" s="19">
        <v>160000</v>
      </c>
      <c r="G24" s="19">
        <v>165000</v>
      </c>
      <c r="H24" s="17"/>
      <c r="K24"/>
      <c r="L24"/>
    </row>
    <row r="25" spans="1:12" s="7" customFormat="1" x14ac:dyDescent="0.25">
      <c r="A25" s="18" t="s">
        <v>2054</v>
      </c>
      <c r="B25" s="18" t="s">
        <v>2055</v>
      </c>
      <c r="C25" s="19">
        <v>123755.03</v>
      </c>
      <c r="D25" s="19">
        <v>73426.179999999993</v>
      </c>
      <c r="E25" s="19">
        <v>113415.27</v>
      </c>
      <c r="F25" s="19">
        <v>100000</v>
      </c>
      <c r="G25" s="19">
        <v>120000</v>
      </c>
      <c r="H25" s="17"/>
      <c r="K25"/>
      <c r="L25"/>
    </row>
    <row r="26" spans="1:12" s="7" customFormat="1" ht="24" x14ac:dyDescent="0.25">
      <c r="A26" s="16" t="s">
        <v>2056</v>
      </c>
      <c r="B26" s="16" t="s">
        <v>2</v>
      </c>
      <c r="C26" s="20">
        <v>458340.45</v>
      </c>
      <c r="D26" s="20">
        <v>351399.1</v>
      </c>
      <c r="E26" s="20">
        <f>SUM(E23:E25)</f>
        <v>435211.99</v>
      </c>
      <c r="F26" s="20">
        <f>SUM(F23:F25)</f>
        <v>424000</v>
      </c>
      <c r="G26" s="20">
        <f>SUM(G23:G25)</f>
        <v>450000</v>
      </c>
      <c r="H26" s="17"/>
      <c r="K26"/>
      <c r="L26"/>
    </row>
    <row r="27" spans="1:12" s="7" customFormat="1" x14ac:dyDescent="0.25">
      <c r="A27" s="16" t="s">
        <v>2</v>
      </c>
      <c r="B27" s="16" t="s">
        <v>2</v>
      </c>
      <c r="C27" s="16" t="s">
        <v>2</v>
      </c>
      <c r="D27" s="16" t="s">
        <v>2</v>
      </c>
      <c r="E27" s="16"/>
      <c r="F27" s="16" t="s">
        <v>2</v>
      </c>
      <c r="G27" s="16" t="s">
        <v>2</v>
      </c>
      <c r="H27" s="17"/>
      <c r="K27"/>
      <c r="L27"/>
    </row>
    <row r="28" spans="1:12" s="7" customFormat="1" ht="24" x14ac:dyDescent="0.25">
      <c r="A28" s="16" t="s">
        <v>2057</v>
      </c>
      <c r="B28" s="16" t="s">
        <v>2</v>
      </c>
      <c r="C28" s="17"/>
      <c r="D28" s="17"/>
      <c r="E28" s="17"/>
      <c r="F28" s="17"/>
      <c r="G28" s="17"/>
      <c r="H28" s="17"/>
      <c r="K28"/>
      <c r="L28"/>
    </row>
    <row r="29" spans="1:12" s="7" customFormat="1" x14ac:dyDescent="0.25">
      <c r="A29" s="18" t="s">
        <v>2058</v>
      </c>
      <c r="B29" s="18" t="s">
        <v>2059</v>
      </c>
      <c r="C29" s="19">
        <v>373165.8</v>
      </c>
      <c r="D29" s="19">
        <v>108306.75</v>
      </c>
      <c r="E29" s="19">
        <v>175884.4</v>
      </c>
      <c r="F29" s="19">
        <v>300000</v>
      </c>
      <c r="G29" s="19">
        <v>200000</v>
      </c>
      <c r="H29" s="17"/>
      <c r="K29"/>
      <c r="L29"/>
    </row>
    <row r="30" spans="1:12" s="7" customFormat="1" x14ac:dyDescent="0.25">
      <c r="A30" s="18" t="s">
        <v>2060</v>
      </c>
      <c r="B30" s="18" t="s">
        <v>2061</v>
      </c>
      <c r="C30" s="19">
        <v>14153.05</v>
      </c>
      <c r="D30" s="19">
        <v>4820.5</v>
      </c>
      <c r="E30" s="19">
        <v>10442.83</v>
      </c>
      <c r="F30" s="19">
        <v>7500</v>
      </c>
      <c r="G30" s="19">
        <v>7500</v>
      </c>
      <c r="H30" s="17"/>
      <c r="K30"/>
      <c r="L30"/>
    </row>
    <row r="31" spans="1:12" s="7" customFormat="1" x14ac:dyDescent="0.25">
      <c r="A31" s="18" t="s">
        <v>2062</v>
      </c>
      <c r="B31" s="18" t="s">
        <v>2063</v>
      </c>
      <c r="C31" s="19">
        <v>107103</v>
      </c>
      <c r="D31" s="19">
        <v>31137</v>
      </c>
      <c r="E31" s="19">
        <v>49351</v>
      </c>
      <c r="F31" s="19">
        <v>50000</v>
      </c>
      <c r="G31" s="19">
        <v>50000</v>
      </c>
      <c r="H31" s="17"/>
      <c r="K31"/>
      <c r="L31"/>
    </row>
    <row r="32" spans="1:12" s="7" customFormat="1" x14ac:dyDescent="0.25">
      <c r="A32" s="18" t="s">
        <v>2064</v>
      </c>
      <c r="B32" s="18" t="s">
        <v>2065</v>
      </c>
      <c r="C32" s="19">
        <v>58838</v>
      </c>
      <c r="D32" s="19">
        <v>13694</v>
      </c>
      <c r="E32" s="19">
        <v>21814</v>
      </c>
      <c r="F32" s="19">
        <v>30000</v>
      </c>
      <c r="G32" s="19">
        <v>25000</v>
      </c>
      <c r="H32" s="17"/>
      <c r="K32"/>
      <c r="L32"/>
    </row>
    <row r="33" spans="1:12" s="7" customFormat="1" x14ac:dyDescent="0.25">
      <c r="A33" s="18" t="s">
        <v>2066</v>
      </c>
      <c r="B33" s="18" t="s">
        <v>2067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7"/>
      <c r="K33"/>
      <c r="L33"/>
    </row>
    <row r="34" spans="1:12" s="7" customFormat="1" x14ac:dyDescent="0.25">
      <c r="A34" s="18" t="s">
        <v>2068</v>
      </c>
      <c r="B34" s="18" t="s">
        <v>2069</v>
      </c>
      <c r="C34" s="19">
        <v>77909.3</v>
      </c>
      <c r="D34" s="19">
        <v>0</v>
      </c>
      <c r="E34" s="19">
        <v>0</v>
      </c>
      <c r="F34" s="19">
        <v>15000</v>
      </c>
      <c r="G34" s="19">
        <v>15000</v>
      </c>
      <c r="H34" s="17"/>
      <c r="K34"/>
      <c r="L34"/>
    </row>
    <row r="35" spans="1:12" s="7" customFormat="1" x14ac:dyDescent="0.25">
      <c r="A35" s="18" t="s">
        <v>2070</v>
      </c>
      <c r="B35" s="18" t="s">
        <v>2071</v>
      </c>
      <c r="C35" s="19">
        <v>3550.8</v>
      </c>
      <c r="D35" s="19">
        <v>826.6</v>
      </c>
      <c r="E35" s="19">
        <v>3515.35</v>
      </c>
      <c r="F35" s="19">
        <v>1500</v>
      </c>
      <c r="G35" s="19">
        <v>1500</v>
      </c>
      <c r="H35" s="17"/>
      <c r="K35"/>
      <c r="L35"/>
    </row>
    <row r="36" spans="1:12" s="7" customFormat="1" x14ac:dyDescent="0.25">
      <c r="A36" s="18" t="s">
        <v>2072</v>
      </c>
      <c r="B36" s="18" t="s">
        <v>2073</v>
      </c>
      <c r="C36" s="19">
        <v>4182.75</v>
      </c>
      <c r="D36" s="19">
        <v>1427.5</v>
      </c>
      <c r="E36" s="19">
        <v>1427.5</v>
      </c>
      <c r="F36" s="19">
        <v>2500</v>
      </c>
      <c r="G36" s="19">
        <v>2000</v>
      </c>
      <c r="H36" s="17"/>
      <c r="K36"/>
      <c r="L36"/>
    </row>
    <row r="37" spans="1:12" s="7" customFormat="1" x14ac:dyDescent="0.25">
      <c r="A37" s="18" t="s">
        <v>2074</v>
      </c>
      <c r="B37" s="18" t="s">
        <v>2075</v>
      </c>
      <c r="C37" s="19">
        <v>331762.09999999998</v>
      </c>
      <c r="D37" s="19">
        <v>108637.55</v>
      </c>
      <c r="E37" s="19">
        <v>128360.05</v>
      </c>
      <c r="F37" s="19">
        <v>100000</v>
      </c>
      <c r="G37" s="19">
        <v>100000</v>
      </c>
      <c r="H37" s="17"/>
      <c r="K37"/>
      <c r="L37"/>
    </row>
    <row r="38" spans="1:12" s="7" customFormat="1" x14ac:dyDescent="0.25">
      <c r="A38" s="18" t="s">
        <v>2076</v>
      </c>
      <c r="B38" s="18" t="s">
        <v>2077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7"/>
      <c r="K38"/>
      <c r="L38"/>
    </row>
    <row r="39" spans="1:12" s="7" customFormat="1" x14ac:dyDescent="0.25">
      <c r="A39" s="18" t="s">
        <v>2078</v>
      </c>
      <c r="B39" s="18" t="s">
        <v>2079</v>
      </c>
      <c r="C39" s="19">
        <v>9346.2999999999993</v>
      </c>
      <c r="D39" s="19">
        <v>3437.9</v>
      </c>
      <c r="E39" s="19">
        <v>3437.9</v>
      </c>
      <c r="F39" s="19">
        <v>2000</v>
      </c>
      <c r="G39" s="19">
        <v>2000</v>
      </c>
      <c r="H39" s="17"/>
      <c r="K39"/>
      <c r="L39"/>
    </row>
    <row r="40" spans="1:12" s="7" customFormat="1" x14ac:dyDescent="0.25">
      <c r="A40" s="18" t="s">
        <v>2080</v>
      </c>
      <c r="B40" s="18" t="s">
        <v>2081</v>
      </c>
      <c r="C40" s="19">
        <v>400</v>
      </c>
      <c r="D40" s="19">
        <v>0</v>
      </c>
      <c r="E40" s="19">
        <v>0</v>
      </c>
      <c r="F40" s="19">
        <v>0</v>
      </c>
      <c r="G40" s="19">
        <v>0</v>
      </c>
      <c r="H40" s="17"/>
      <c r="K40"/>
      <c r="L40"/>
    </row>
    <row r="41" spans="1:12" s="7" customFormat="1" x14ac:dyDescent="0.25">
      <c r="A41" s="18" t="s">
        <v>2082</v>
      </c>
      <c r="B41" s="18" t="s">
        <v>2083</v>
      </c>
      <c r="C41" s="19">
        <v>2861.93</v>
      </c>
      <c r="D41" s="19">
        <v>4332.3100000000004</v>
      </c>
      <c r="E41" s="19">
        <v>6910.29</v>
      </c>
      <c r="F41" s="19">
        <v>5000</v>
      </c>
      <c r="G41" s="19">
        <v>5000</v>
      </c>
      <c r="H41" s="17"/>
      <c r="K41"/>
      <c r="L41"/>
    </row>
    <row r="42" spans="1:12" s="7" customFormat="1" x14ac:dyDescent="0.25">
      <c r="A42" s="18" t="s">
        <v>2084</v>
      </c>
      <c r="B42" s="18" t="s">
        <v>2085</v>
      </c>
      <c r="C42" s="19">
        <v>682.15</v>
      </c>
      <c r="D42" s="19">
        <v>783.75</v>
      </c>
      <c r="E42" s="19">
        <v>783.75</v>
      </c>
      <c r="F42" s="19">
        <v>0</v>
      </c>
      <c r="G42" s="19">
        <v>0</v>
      </c>
      <c r="H42" s="17"/>
      <c r="K42"/>
      <c r="L42"/>
    </row>
    <row r="43" spans="1:12" s="7" customFormat="1" x14ac:dyDescent="0.25">
      <c r="A43" s="18" t="s">
        <v>2086</v>
      </c>
      <c r="B43" s="18" t="s">
        <v>2087</v>
      </c>
      <c r="C43" s="19">
        <v>1285</v>
      </c>
      <c r="D43" s="19">
        <v>83.25</v>
      </c>
      <c r="E43" s="19">
        <v>83.25</v>
      </c>
      <c r="F43" s="19">
        <v>0</v>
      </c>
      <c r="G43" s="19">
        <v>0</v>
      </c>
      <c r="H43" s="17"/>
      <c r="K43"/>
      <c r="L43"/>
    </row>
    <row r="44" spans="1:12" s="7" customFormat="1" x14ac:dyDescent="0.25">
      <c r="A44" s="18" t="s">
        <v>2088</v>
      </c>
      <c r="B44" s="18" t="s">
        <v>2089</v>
      </c>
      <c r="C44" s="19">
        <v>17096.5</v>
      </c>
      <c r="D44" s="19">
        <v>16128.6</v>
      </c>
      <c r="E44" s="19">
        <v>28436.55</v>
      </c>
      <c r="F44" s="19">
        <v>10000</v>
      </c>
      <c r="G44" s="19">
        <v>15000</v>
      </c>
      <c r="H44" s="17"/>
      <c r="K44"/>
      <c r="L44"/>
    </row>
    <row r="45" spans="1:12" s="7" customFormat="1" x14ac:dyDescent="0.25">
      <c r="A45" s="18" t="s">
        <v>2090</v>
      </c>
      <c r="B45" s="18" t="s">
        <v>2091</v>
      </c>
      <c r="C45" s="19">
        <v>2700</v>
      </c>
      <c r="D45" s="19">
        <v>2527.94</v>
      </c>
      <c r="E45" s="19">
        <v>2827.94</v>
      </c>
      <c r="F45" s="19">
        <v>2000</v>
      </c>
      <c r="G45" s="19">
        <v>2000</v>
      </c>
      <c r="H45" s="17"/>
      <c r="K45"/>
      <c r="L45"/>
    </row>
    <row r="46" spans="1:12" s="7" customFormat="1" x14ac:dyDescent="0.25">
      <c r="A46" s="18" t="s">
        <v>2092</v>
      </c>
      <c r="B46" s="18" t="s">
        <v>2093</v>
      </c>
      <c r="C46" s="19">
        <v>390.5</v>
      </c>
      <c r="D46" s="19">
        <v>1930.75</v>
      </c>
      <c r="E46" s="19">
        <v>1930.75</v>
      </c>
      <c r="F46" s="19">
        <v>0</v>
      </c>
      <c r="G46" s="19">
        <v>0</v>
      </c>
      <c r="H46" s="17"/>
      <c r="K46"/>
      <c r="L46"/>
    </row>
    <row r="47" spans="1:12" s="7" customFormat="1" x14ac:dyDescent="0.25">
      <c r="A47" s="18" t="s">
        <v>2094</v>
      </c>
      <c r="B47" s="18" t="s">
        <v>2095</v>
      </c>
      <c r="C47" s="19">
        <v>0</v>
      </c>
      <c r="D47" s="19">
        <v>0</v>
      </c>
      <c r="E47" s="19">
        <v>0</v>
      </c>
      <c r="F47" s="19">
        <v>0</v>
      </c>
      <c r="G47" s="19">
        <v>0</v>
      </c>
      <c r="H47" s="17"/>
      <c r="K47"/>
      <c r="L47"/>
    </row>
    <row r="48" spans="1:12" s="7" customFormat="1" x14ac:dyDescent="0.25">
      <c r="A48" s="18" t="s">
        <v>2096</v>
      </c>
      <c r="B48" s="18" t="s">
        <v>2097</v>
      </c>
      <c r="C48" s="19">
        <v>3790</v>
      </c>
      <c r="D48" s="19">
        <v>1874</v>
      </c>
      <c r="E48" s="19">
        <v>3206</v>
      </c>
      <c r="F48" s="19">
        <v>2000</v>
      </c>
      <c r="G48" s="19">
        <v>2000</v>
      </c>
      <c r="H48" s="17"/>
      <c r="K48"/>
      <c r="L48"/>
    </row>
    <row r="49" spans="1:12" s="7" customFormat="1" x14ac:dyDescent="0.25">
      <c r="A49" s="18" t="s">
        <v>2098</v>
      </c>
      <c r="B49" s="18" t="s">
        <v>2099</v>
      </c>
      <c r="C49" s="19">
        <v>6685</v>
      </c>
      <c r="D49" s="19">
        <v>0</v>
      </c>
      <c r="E49" s="19">
        <v>0</v>
      </c>
      <c r="F49" s="19">
        <v>0</v>
      </c>
      <c r="G49" s="19">
        <v>0</v>
      </c>
      <c r="H49" s="17"/>
      <c r="K49"/>
      <c r="L49"/>
    </row>
    <row r="50" spans="1:12" s="7" customFormat="1" ht="24" x14ac:dyDescent="0.25">
      <c r="A50" s="16" t="s">
        <v>2100</v>
      </c>
      <c r="B50" s="16" t="s">
        <v>2</v>
      </c>
      <c r="C50" s="20">
        <v>1015902.18</v>
      </c>
      <c r="D50" s="20">
        <v>299948.40000000002</v>
      </c>
      <c r="E50" s="20">
        <f>SUM(E29:E49)</f>
        <v>438411.55999999994</v>
      </c>
      <c r="F50" s="20">
        <f>SUM(F29:F49)</f>
        <v>527500</v>
      </c>
      <c r="G50" s="20">
        <f>SUM(G29:G49)</f>
        <v>427000</v>
      </c>
      <c r="H50" s="17"/>
      <c r="K50"/>
      <c r="L50"/>
    </row>
    <row r="51" spans="1:12" s="7" customFormat="1" x14ac:dyDescent="0.25">
      <c r="A51" s="16" t="s">
        <v>2</v>
      </c>
      <c r="B51" s="16" t="s">
        <v>2</v>
      </c>
      <c r="C51" s="16" t="s">
        <v>2</v>
      </c>
      <c r="D51" s="16" t="s">
        <v>2</v>
      </c>
      <c r="E51" s="16"/>
      <c r="F51" s="16" t="s">
        <v>2</v>
      </c>
      <c r="G51" s="16" t="s">
        <v>2</v>
      </c>
      <c r="H51" s="17"/>
      <c r="K51"/>
      <c r="L51"/>
    </row>
    <row r="52" spans="1:12" s="7" customFormat="1" x14ac:dyDescent="0.25">
      <c r="A52" s="16" t="s">
        <v>2101</v>
      </c>
      <c r="B52" s="16" t="s">
        <v>2</v>
      </c>
      <c r="C52" s="20">
        <v>1474242.63</v>
      </c>
      <c r="D52" s="20">
        <v>651347.5</v>
      </c>
      <c r="E52" s="20">
        <f>E50+E26</f>
        <v>873623.54999999993</v>
      </c>
      <c r="F52" s="20">
        <f>F26+F50</f>
        <v>951500</v>
      </c>
      <c r="G52" s="20">
        <f>G26+G50</f>
        <v>877000</v>
      </c>
      <c r="H52" s="17"/>
      <c r="K52"/>
      <c r="L52"/>
    </row>
    <row r="53" spans="1:12" s="7" customFormat="1" x14ac:dyDescent="0.25">
      <c r="A53" s="16" t="s">
        <v>2</v>
      </c>
      <c r="B53" s="16" t="s">
        <v>2</v>
      </c>
      <c r="C53" s="16" t="s">
        <v>2</v>
      </c>
      <c r="D53" s="16" t="s">
        <v>2</v>
      </c>
      <c r="E53" s="16"/>
      <c r="F53" s="16" t="s">
        <v>2</v>
      </c>
      <c r="G53" s="16" t="s">
        <v>2</v>
      </c>
      <c r="H53" s="17"/>
      <c r="K53"/>
      <c r="L53"/>
    </row>
    <row r="54" spans="1:12" s="7" customFormat="1" x14ac:dyDescent="0.25">
      <c r="A54" s="16" t="s">
        <v>2102</v>
      </c>
      <c r="B54" s="16" t="s">
        <v>2</v>
      </c>
      <c r="C54" s="17"/>
      <c r="D54" s="17"/>
      <c r="E54" s="17"/>
      <c r="F54" s="17"/>
      <c r="G54" s="17"/>
      <c r="H54" s="17"/>
      <c r="K54"/>
      <c r="L54"/>
    </row>
    <row r="55" spans="1:12" s="7" customFormat="1" x14ac:dyDescent="0.25">
      <c r="A55" s="16" t="s">
        <v>2103</v>
      </c>
      <c r="B55" s="16" t="s">
        <v>2</v>
      </c>
      <c r="C55" s="17"/>
      <c r="D55" s="17"/>
      <c r="E55" s="17"/>
      <c r="F55" s="17"/>
      <c r="G55" s="17"/>
      <c r="H55" s="17"/>
      <c r="K55"/>
      <c r="L55"/>
    </row>
    <row r="56" spans="1:12" s="7" customFormat="1" x14ac:dyDescent="0.25">
      <c r="A56" s="18" t="s">
        <v>2104</v>
      </c>
      <c r="B56" s="18" t="s">
        <v>2105</v>
      </c>
      <c r="C56" s="19">
        <v>0</v>
      </c>
      <c r="D56" s="19">
        <v>0</v>
      </c>
      <c r="E56" s="19">
        <v>0</v>
      </c>
      <c r="F56" s="19">
        <v>0</v>
      </c>
      <c r="G56" s="19">
        <v>0</v>
      </c>
      <c r="H56" s="17"/>
      <c r="K56"/>
      <c r="L56"/>
    </row>
    <row r="57" spans="1:12" s="7" customFormat="1" x14ac:dyDescent="0.25">
      <c r="A57" s="18" t="s">
        <v>2106</v>
      </c>
      <c r="B57" s="18" t="s">
        <v>2107</v>
      </c>
      <c r="C57" s="19">
        <v>4097.3100000000004</v>
      </c>
      <c r="D57" s="19">
        <v>0</v>
      </c>
      <c r="E57" s="19">
        <v>0</v>
      </c>
      <c r="F57" s="19">
        <v>2250</v>
      </c>
      <c r="G57" s="19">
        <v>0</v>
      </c>
      <c r="H57" s="17"/>
      <c r="K57"/>
      <c r="L57"/>
    </row>
    <row r="58" spans="1:12" s="7" customFormat="1" x14ac:dyDescent="0.25">
      <c r="A58" s="16" t="s">
        <v>2108</v>
      </c>
      <c r="B58" s="16" t="s">
        <v>2</v>
      </c>
      <c r="C58" s="20">
        <v>4097.3100000000004</v>
      </c>
      <c r="D58" s="20">
        <v>0</v>
      </c>
      <c r="E58" s="20">
        <f>SUM(E56:E57)</f>
        <v>0</v>
      </c>
      <c r="F58" s="20">
        <f>SUM(F56:F57)</f>
        <v>2250</v>
      </c>
      <c r="G58" s="20">
        <f>SUM(G56:G57)</f>
        <v>0</v>
      </c>
      <c r="H58" s="17"/>
      <c r="K58"/>
      <c r="L58"/>
    </row>
    <row r="59" spans="1:12" s="7" customFormat="1" x14ac:dyDescent="0.25">
      <c r="A59" s="16" t="s">
        <v>2</v>
      </c>
      <c r="B59" s="16" t="s">
        <v>2</v>
      </c>
      <c r="C59" s="16" t="s">
        <v>2</v>
      </c>
      <c r="D59" s="16" t="s">
        <v>2</v>
      </c>
      <c r="E59" s="16"/>
      <c r="F59" s="16" t="s">
        <v>2</v>
      </c>
      <c r="G59" s="16" t="s">
        <v>2</v>
      </c>
      <c r="H59" s="17"/>
      <c r="K59"/>
      <c r="L59"/>
    </row>
    <row r="60" spans="1:12" s="7" customFormat="1" x14ac:dyDescent="0.25">
      <c r="A60" s="18" t="s">
        <v>2109</v>
      </c>
      <c r="B60" s="18" t="s">
        <v>2110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  <c r="H60" s="17"/>
      <c r="K60"/>
      <c r="L60"/>
    </row>
    <row r="61" spans="1:12" s="7" customFormat="1" x14ac:dyDescent="0.25">
      <c r="A61" s="16" t="s">
        <v>2111</v>
      </c>
      <c r="B61" s="16" t="s">
        <v>2</v>
      </c>
      <c r="C61" s="17"/>
      <c r="D61" s="17"/>
      <c r="E61" s="17"/>
      <c r="F61" s="17"/>
      <c r="G61" s="17"/>
      <c r="H61" s="17"/>
      <c r="K61"/>
      <c r="L61"/>
    </row>
    <row r="62" spans="1:12" s="7" customFormat="1" x14ac:dyDescent="0.25">
      <c r="A62" s="18" t="s">
        <v>2112</v>
      </c>
      <c r="B62" s="18" t="s">
        <v>2113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  <c r="H62" s="17"/>
      <c r="K62"/>
      <c r="L62"/>
    </row>
    <row r="63" spans="1:12" s="7" customFormat="1" x14ac:dyDescent="0.25">
      <c r="A63" s="18" t="s">
        <v>2114</v>
      </c>
      <c r="B63" s="18" t="s">
        <v>2115</v>
      </c>
      <c r="C63" s="19">
        <v>9981.9599999999991</v>
      </c>
      <c r="D63" s="19">
        <v>4159.1499999999996</v>
      </c>
      <c r="E63" s="19">
        <v>6654.64</v>
      </c>
      <c r="F63" s="19">
        <v>9981.9599999999991</v>
      </c>
      <c r="G63" s="19">
        <v>0</v>
      </c>
      <c r="H63" s="17"/>
      <c r="K63"/>
      <c r="L63"/>
    </row>
    <row r="64" spans="1:12" s="7" customFormat="1" x14ac:dyDescent="0.25">
      <c r="A64" s="18" t="s">
        <v>2116</v>
      </c>
      <c r="B64" s="18" t="s">
        <v>2117</v>
      </c>
      <c r="C64" s="19">
        <v>5717.38</v>
      </c>
      <c r="D64" s="19">
        <v>0</v>
      </c>
      <c r="E64" s="19">
        <v>0</v>
      </c>
      <c r="F64" s="19">
        <v>0</v>
      </c>
      <c r="G64" s="19">
        <v>0</v>
      </c>
      <c r="H64" s="17"/>
      <c r="K64"/>
      <c r="L64"/>
    </row>
    <row r="65" spans="1:12" s="7" customFormat="1" x14ac:dyDescent="0.25">
      <c r="A65" s="18" t="s">
        <v>2118</v>
      </c>
      <c r="B65" s="18" t="s">
        <v>2119</v>
      </c>
      <c r="C65" s="19">
        <v>1251.2</v>
      </c>
      <c r="D65" s="19">
        <v>0</v>
      </c>
      <c r="E65" s="19">
        <v>0</v>
      </c>
      <c r="F65" s="19">
        <v>0</v>
      </c>
      <c r="G65" s="19">
        <v>0</v>
      </c>
      <c r="H65" s="17"/>
      <c r="K65"/>
      <c r="L65"/>
    </row>
    <row r="66" spans="1:12" s="7" customFormat="1" x14ac:dyDescent="0.25">
      <c r="A66" s="18" t="s">
        <v>2120</v>
      </c>
      <c r="B66" s="18" t="s">
        <v>2121</v>
      </c>
      <c r="C66" s="19">
        <v>23088.44</v>
      </c>
      <c r="D66" s="19">
        <v>0</v>
      </c>
      <c r="E66" s="19">
        <v>0</v>
      </c>
      <c r="F66" s="19">
        <v>0</v>
      </c>
      <c r="G66" s="19">
        <v>0</v>
      </c>
      <c r="H66" s="17"/>
      <c r="K66"/>
      <c r="L66"/>
    </row>
    <row r="67" spans="1:12" s="7" customFormat="1" x14ac:dyDescent="0.25">
      <c r="A67" s="18" t="s">
        <v>2122</v>
      </c>
      <c r="B67" s="18" t="s">
        <v>2123</v>
      </c>
      <c r="C67" s="19">
        <v>11174.7</v>
      </c>
      <c r="D67" s="19">
        <v>10228.01</v>
      </c>
      <c r="E67" s="19">
        <v>10228.01</v>
      </c>
      <c r="F67" s="19">
        <v>0</v>
      </c>
      <c r="G67" s="19">
        <v>0</v>
      </c>
      <c r="H67" s="17"/>
      <c r="K67"/>
      <c r="L67"/>
    </row>
    <row r="68" spans="1:12" s="7" customFormat="1" x14ac:dyDescent="0.25">
      <c r="A68" s="18" t="s">
        <v>2124</v>
      </c>
      <c r="B68" s="18" t="s">
        <v>2125</v>
      </c>
      <c r="C68" s="19">
        <v>3255.57</v>
      </c>
      <c r="D68" s="19">
        <v>26105.040000000001</v>
      </c>
      <c r="E68" s="19">
        <v>26105.040000000001</v>
      </c>
      <c r="F68" s="19">
        <v>25000</v>
      </c>
      <c r="G68" s="19">
        <v>0</v>
      </c>
      <c r="H68" s="17"/>
      <c r="K68"/>
      <c r="L68"/>
    </row>
    <row r="69" spans="1:12" s="7" customFormat="1" x14ac:dyDescent="0.25">
      <c r="A69" s="16" t="s">
        <v>2126</v>
      </c>
      <c r="B69" s="16" t="s">
        <v>2</v>
      </c>
      <c r="C69" s="20">
        <v>54469.25</v>
      </c>
      <c r="D69" s="20">
        <v>40492.199999999997</v>
      </c>
      <c r="E69" s="20">
        <f>SUM(E62:E68)</f>
        <v>42987.69</v>
      </c>
      <c r="F69" s="20">
        <f>SUM(F62:F68)</f>
        <v>34981.96</v>
      </c>
      <c r="G69" s="20">
        <f>SUM(G62:G68)</f>
        <v>0</v>
      </c>
      <c r="H69" s="17"/>
      <c r="K69"/>
      <c r="L69"/>
    </row>
    <row r="70" spans="1:12" s="7" customFormat="1" x14ac:dyDescent="0.25">
      <c r="A70" s="16" t="s">
        <v>2</v>
      </c>
      <c r="B70" s="16" t="s">
        <v>2</v>
      </c>
      <c r="C70" s="16" t="s">
        <v>2</v>
      </c>
      <c r="D70" s="16" t="s">
        <v>2</v>
      </c>
      <c r="E70" s="16"/>
      <c r="F70" s="16" t="s">
        <v>2</v>
      </c>
      <c r="G70" s="16" t="s">
        <v>2</v>
      </c>
      <c r="H70" s="17"/>
      <c r="K70"/>
      <c r="L70"/>
    </row>
    <row r="71" spans="1:12" s="7" customFormat="1" x14ac:dyDescent="0.25">
      <c r="A71" s="16" t="s">
        <v>2127</v>
      </c>
      <c r="B71" s="16" t="s">
        <v>2</v>
      </c>
      <c r="C71" s="17"/>
      <c r="D71" s="17"/>
      <c r="E71" s="17"/>
      <c r="F71" s="17"/>
      <c r="G71" s="17"/>
      <c r="H71" s="17"/>
      <c r="K71"/>
      <c r="L71"/>
    </row>
    <row r="72" spans="1:12" s="7" customFormat="1" x14ac:dyDescent="0.25">
      <c r="A72" s="18" t="s">
        <v>2128</v>
      </c>
      <c r="B72" s="18" t="s">
        <v>2129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  <c r="H72" s="17"/>
      <c r="K72"/>
      <c r="L72"/>
    </row>
    <row r="73" spans="1:12" s="7" customFormat="1" x14ac:dyDescent="0.25">
      <c r="A73" s="18" t="s">
        <v>2130</v>
      </c>
      <c r="B73" s="18" t="s">
        <v>2131</v>
      </c>
      <c r="C73" s="19">
        <v>7000</v>
      </c>
      <c r="D73" s="19">
        <v>0</v>
      </c>
      <c r="E73" s="19">
        <v>0</v>
      </c>
      <c r="F73" s="19">
        <v>0</v>
      </c>
      <c r="G73" s="19">
        <v>0</v>
      </c>
      <c r="H73" s="17"/>
      <c r="K73"/>
      <c r="L73"/>
    </row>
    <row r="74" spans="1:12" s="7" customFormat="1" x14ac:dyDescent="0.25">
      <c r="A74" s="18" t="s">
        <v>2132</v>
      </c>
      <c r="B74" s="18" t="s">
        <v>2133</v>
      </c>
      <c r="C74" s="19">
        <v>13624.45</v>
      </c>
      <c r="D74" s="19">
        <v>0</v>
      </c>
      <c r="E74" s="19">
        <v>0</v>
      </c>
      <c r="F74" s="19">
        <v>0</v>
      </c>
      <c r="G74" s="19">
        <v>0</v>
      </c>
      <c r="H74" s="17"/>
      <c r="K74"/>
      <c r="L74"/>
    </row>
    <row r="75" spans="1:12" s="7" customFormat="1" x14ac:dyDescent="0.25">
      <c r="A75" s="18" t="s">
        <v>2134</v>
      </c>
      <c r="B75" s="18" t="s">
        <v>2117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  <c r="H75" s="17"/>
      <c r="K75"/>
      <c r="L75"/>
    </row>
    <row r="76" spans="1:12" s="7" customFormat="1" x14ac:dyDescent="0.25">
      <c r="A76" s="18" t="s">
        <v>2135</v>
      </c>
      <c r="B76" s="18" t="s">
        <v>2136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  <c r="H76" s="17"/>
      <c r="K76"/>
      <c r="L76"/>
    </row>
    <row r="77" spans="1:12" s="7" customFormat="1" x14ac:dyDescent="0.25">
      <c r="A77" s="18" t="s">
        <v>2137</v>
      </c>
      <c r="B77" s="18" t="s">
        <v>2138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  <c r="H77" s="17"/>
      <c r="K77"/>
      <c r="L77"/>
    </row>
    <row r="78" spans="1:12" s="7" customFormat="1" x14ac:dyDescent="0.25">
      <c r="A78" s="18" t="s">
        <v>2139</v>
      </c>
      <c r="B78" s="18" t="s">
        <v>2140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  <c r="H78" s="17"/>
      <c r="K78"/>
      <c r="L78"/>
    </row>
    <row r="79" spans="1:12" s="7" customFormat="1" x14ac:dyDescent="0.25">
      <c r="A79" s="18" t="s">
        <v>2141</v>
      </c>
      <c r="B79" s="18" t="s">
        <v>2142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  <c r="H79" s="17"/>
      <c r="K79"/>
      <c r="L79"/>
    </row>
    <row r="80" spans="1:12" s="7" customFormat="1" x14ac:dyDescent="0.25">
      <c r="A80" s="18" t="s">
        <v>2143</v>
      </c>
      <c r="B80" s="18" t="s">
        <v>2144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  <c r="H80" s="17"/>
      <c r="K80"/>
      <c r="L80"/>
    </row>
    <row r="81" spans="1:12" s="7" customFormat="1" x14ac:dyDescent="0.25">
      <c r="A81" s="18" t="s">
        <v>2145</v>
      </c>
      <c r="B81" s="18" t="s">
        <v>2146</v>
      </c>
      <c r="C81" s="19">
        <v>174600</v>
      </c>
      <c r="D81" s="19">
        <v>0</v>
      </c>
      <c r="E81" s="19">
        <v>0</v>
      </c>
      <c r="F81" s="19">
        <v>0</v>
      </c>
      <c r="G81" s="19">
        <v>0</v>
      </c>
      <c r="H81" s="17"/>
      <c r="K81"/>
      <c r="L81"/>
    </row>
    <row r="82" spans="1:12" s="7" customFormat="1" x14ac:dyDescent="0.25">
      <c r="A82" s="18" t="s">
        <v>2147</v>
      </c>
      <c r="B82" s="18" t="s">
        <v>2148</v>
      </c>
      <c r="C82" s="19">
        <v>14028.28</v>
      </c>
      <c r="D82" s="19">
        <v>0</v>
      </c>
      <c r="E82" s="19">
        <v>0</v>
      </c>
      <c r="F82" s="19">
        <v>20000</v>
      </c>
      <c r="G82" s="19">
        <v>0</v>
      </c>
      <c r="H82" s="17"/>
      <c r="K82"/>
      <c r="L82"/>
    </row>
    <row r="83" spans="1:12" s="7" customFormat="1" x14ac:dyDescent="0.25">
      <c r="A83" s="18" t="s">
        <v>2149</v>
      </c>
      <c r="B83" s="18" t="s">
        <v>2150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  <c r="H83" s="17"/>
      <c r="K83"/>
      <c r="L83"/>
    </row>
    <row r="84" spans="1:12" s="7" customFormat="1" x14ac:dyDescent="0.25">
      <c r="A84" s="18" t="s">
        <v>2151</v>
      </c>
      <c r="B84" s="18" t="s">
        <v>2152</v>
      </c>
      <c r="C84" s="19">
        <v>0</v>
      </c>
      <c r="D84" s="19">
        <v>0</v>
      </c>
      <c r="E84" s="19">
        <v>2115.06</v>
      </c>
      <c r="F84" s="19">
        <v>0</v>
      </c>
      <c r="G84" s="19">
        <v>0</v>
      </c>
      <c r="H84" s="17"/>
      <c r="K84"/>
      <c r="L84"/>
    </row>
    <row r="85" spans="1:12" s="7" customFormat="1" x14ac:dyDescent="0.25">
      <c r="A85" s="18" t="s">
        <v>2153</v>
      </c>
      <c r="B85" s="18" t="s">
        <v>2154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  <c r="H85" s="17"/>
      <c r="K85"/>
      <c r="L85"/>
    </row>
    <row r="86" spans="1:12" s="7" customFormat="1" x14ac:dyDescent="0.25">
      <c r="A86" s="18" t="s">
        <v>2155</v>
      </c>
      <c r="B86" s="18" t="s">
        <v>2156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  <c r="H86" s="17"/>
      <c r="K86"/>
      <c r="L86"/>
    </row>
    <row r="87" spans="1:12" s="7" customFormat="1" x14ac:dyDescent="0.25">
      <c r="A87" s="16" t="s">
        <v>2157</v>
      </c>
      <c r="B87" s="16" t="s">
        <v>2</v>
      </c>
      <c r="C87" s="20">
        <v>209252.73</v>
      </c>
      <c r="D87" s="20">
        <v>0</v>
      </c>
      <c r="E87" s="20">
        <f>SUM(E72:E86)</f>
        <v>2115.06</v>
      </c>
      <c r="F87" s="20">
        <f>SUM(F72:F86)</f>
        <v>20000</v>
      </c>
      <c r="G87" s="20">
        <f>SUM(G72:G86)</f>
        <v>0</v>
      </c>
      <c r="H87" s="17"/>
      <c r="K87"/>
      <c r="L87"/>
    </row>
    <row r="88" spans="1:12" s="7" customFormat="1" x14ac:dyDescent="0.25">
      <c r="A88" s="16" t="s">
        <v>2</v>
      </c>
      <c r="B88" s="16" t="s">
        <v>2</v>
      </c>
      <c r="C88" s="16" t="s">
        <v>2</v>
      </c>
      <c r="D88" s="16" t="s">
        <v>2</v>
      </c>
      <c r="E88" s="16"/>
      <c r="F88" s="16" t="s">
        <v>2</v>
      </c>
      <c r="G88" s="16" t="s">
        <v>2</v>
      </c>
      <c r="H88" s="17"/>
      <c r="K88"/>
      <c r="L88"/>
    </row>
    <row r="89" spans="1:12" s="7" customFormat="1" x14ac:dyDescent="0.25">
      <c r="A89" s="18" t="s">
        <v>2158</v>
      </c>
      <c r="B89" s="18" t="s">
        <v>2159</v>
      </c>
      <c r="C89" s="19">
        <v>60306</v>
      </c>
      <c r="D89" s="19">
        <v>0</v>
      </c>
      <c r="E89" s="19">
        <v>0</v>
      </c>
      <c r="F89" s="19">
        <v>0</v>
      </c>
      <c r="G89" s="19">
        <v>0</v>
      </c>
      <c r="H89" s="17"/>
      <c r="K89"/>
      <c r="L89"/>
    </row>
    <row r="90" spans="1:12" s="7" customFormat="1" ht="24" x14ac:dyDescent="0.25">
      <c r="A90" s="16" t="s">
        <v>2160</v>
      </c>
      <c r="B90" s="16" t="s">
        <v>2</v>
      </c>
      <c r="C90" s="17"/>
      <c r="D90" s="17"/>
      <c r="E90" s="17"/>
      <c r="F90" s="17"/>
      <c r="G90" s="17"/>
      <c r="H90" s="17"/>
      <c r="K90"/>
      <c r="L90"/>
    </row>
    <row r="91" spans="1:12" s="7" customFormat="1" x14ac:dyDescent="0.25">
      <c r="A91" s="18" t="s">
        <v>2161</v>
      </c>
      <c r="B91" s="18" t="s">
        <v>2162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  <c r="H91" s="17"/>
      <c r="K91"/>
      <c r="L91"/>
    </row>
    <row r="92" spans="1:12" s="7" customFormat="1" x14ac:dyDescent="0.25">
      <c r="A92" s="18" t="s">
        <v>2163</v>
      </c>
      <c r="B92" s="18" t="s">
        <v>2164</v>
      </c>
      <c r="C92" s="19">
        <v>31501.34</v>
      </c>
      <c r="D92" s="19">
        <v>9531.6299999999992</v>
      </c>
      <c r="E92" s="19">
        <v>30588.27</v>
      </c>
      <c r="F92" s="19">
        <v>22000</v>
      </c>
      <c r="G92" s="19">
        <v>25000</v>
      </c>
      <c r="H92" s="17"/>
      <c r="K92"/>
      <c r="L92"/>
    </row>
    <row r="93" spans="1:12" s="7" customFormat="1" x14ac:dyDescent="0.25">
      <c r="A93" s="18" t="s">
        <v>2165</v>
      </c>
      <c r="B93" s="18" t="s">
        <v>2166</v>
      </c>
      <c r="C93" s="19">
        <v>2402.5</v>
      </c>
      <c r="D93" s="19">
        <v>1301.68</v>
      </c>
      <c r="E93" s="19">
        <v>1269.07</v>
      </c>
      <c r="F93" s="19">
        <v>1500</v>
      </c>
      <c r="G93" s="19">
        <v>1500</v>
      </c>
      <c r="H93" s="17"/>
      <c r="K93"/>
      <c r="L93"/>
    </row>
    <row r="94" spans="1:12" s="7" customFormat="1" x14ac:dyDescent="0.25">
      <c r="A94" s="18" t="s">
        <v>2167</v>
      </c>
      <c r="B94" s="18" t="s">
        <v>2168</v>
      </c>
      <c r="C94" s="19">
        <v>102749.03</v>
      </c>
      <c r="D94" s="19">
        <v>55368.08</v>
      </c>
      <c r="E94" s="19">
        <v>80566.880000000005</v>
      </c>
      <c r="F94" s="19">
        <v>98492</v>
      </c>
      <c r="G94" s="19">
        <v>85000</v>
      </c>
      <c r="H94" s="17"/>
      <c r="K94"/>
      <c r="L94"/>
    </row>
    <row r="95" spans="1:12" s="7" customFormat="1" x14ac:dyDescent="0.25">
      <c r="A95" s="18" t="s">
        <v>2169</v>
      </c>
      <c r="B95" s="18" t="s">
        <v>2170</v>
      </c>
      <c r="C95" s="19">
        <v>115352.46</v>
      </c>
      <c r="D95" s="19">
        <v>30192.91</v>
      </c>
      <c r="E95" s="19">
        <v>90573.48</v>
      </c>
      <c r="F95" s="19">
        <v>118953</v>
      </c>
      <c r="G95" s="19">
        <v>110000</v>
      </c>
      <c r="H95" s="17"/>
      <c r="K95"/>
      <c r="L95"/>
    </row>
    <row r="96" spans="1:12" s="7" customFormat="1" ht="24" x14ac:dyDescent="0.25">
      <c r="A96" s="16" t="s">
        <v>2171</v>
      </c>
      <c r="B96" s="16" t="s">
        <v>2</v>
      </c>
      <c r="C96" s="20">
        <v>252005.33</v>
      </c>
      <c r="D96" s="20">
        <v>96394.3</v>
      </c>
      <c r="E96" s="20">
        <f>SUM(E91:E95)</f>
        <v>202997.7</v>
      </c>
      <c r="F96" s="20">
        <f>SUM(F91:F95)</f>
        <v>240945</v>
      </c>
      <c r="G96" s="20">
        <f>SUM(G91:G95)</f>
        <v>221500</v>
      </c>
      <c r="H96" s="17"/>
      <c r="K96"/>
      <c r="L96"/>
    </row>
    <row r="97" spans="1:12" s="7" customFormat="1" x14ac:dyDescent="0.25">
      <c r="A97" s="16" t="s">
        <v>2</v>
      </c>
      <c r="B97" s="16" t="s">
        <v>2</v>
      </c>
      <c r="C97" s="16" t="s">
        <v>2</v>
      </c>
      <c r="D97" s="16" t="s">
        <v>2</v>
      </c>
      <c r="E97" s="16"/>
      <c r="F97" s="16" t="s">
        <v>2</v>
      </c>
      <c r="G97" s="16" t="s">
        <v>2</v>
      </c>
      <c r="H97" s="17"/>
      <c r="K97"/>
      <c r="L97"/>
    </row>
    <row r="98" spans="1:12" s="7" customFormat="1" x14ac:dyDescent="0.25">
      <c r="A98" s="18" t="s">
        <v>2172</v>
      </c>
      <c r="B98" s="18" t="s">
        <v>2173</v>
      </c>
      <c r="C98" s="19">
        <v>0</v>
      </c>
      <c r="D98" s="19">
        <v>15000</v>
      </c>
      <c r="E98" s="19">
        <v>15000</v>
      </c>
      <c r="F98" s="19">
        <v>0</v>
      </c>
      <c r="G98" s="19">
        <v>0</v>
      </c>
      <c r="H98" s="17"/>
      <c r="K98"/>
      <c r="L98"/>
    </row>
    <row r="99" spans="1:12" s="7" customFormat="1" ht="24" x14ac:dyDescent="0.25">
      <c r="A99" s="16" t="s">
        <v>2174</v>
      </c>
      <c r="B99" s="16" t="s">
        <v>2</v>
      </c>
      <c r="C99" s="20">
        <v>580130.62</v>
      </c>
      <c r="D99" s="20">
        <v>151886.5</v>
      </c>
      <c r="E99" s="20">
        <f>E58+E69+E87+E89+E96+E98</f>
        <v>263100.45</v>
      </c>
      <c r="F99" s="20">
        <f>F58+F60+F69+F87+F89+F96+F98</f>
        <v>298176.96000000002</v>
      </c>
      <c r="G99" s="20">
        <f>G58+G60+G69+G87+G89+G96+G98</f>
        <v>221500</v>
      </c>
      <c r="H99" s="17"/>
      <c r="I99" s="21"/>
      <c r="K99"/>
      <c r="L99"/>
    </row>
    <row r="100" spans="1:12" s="7" customFormat="1" x14ac:dyDescent="0.25">
      <c r="A100" s="16" t="s">
        <v>2</v>
      </c>
      <c r="B100" s="16" t="s">
        <v>2</v>
      </c>
      <c r="C100" s="16" t="s">
        <v>2</v>
      </c>
      <c r="D100" s="16" t="s">
        <v>2</v>
      </c>
      <c r="E100" s="16"/>
      <c r="F100" s="16" t="s">
        <v>2</v>
      </c>
      <c r="G100" s="16" t="s">
        <v>2</v>
      </c>
      <c r="H100" s="22"/>
      <c r="K100"/>
      <c r="L100"/>
    </row>
    <row r="101" spans="1:12" s="7" customFormat="1" x14ac:dyDescent="0.25">
      <c r="A101" s="16" t="s">
        <v>2175</v>
      </c>
      <c r="B101" s="16" t="s">
        <v>2</v>
      </c>
      <c r="C101" s="17"/>
      <c r="D101" s="17"/>
      <c r="E101" s="17"/>
      <c r="F101" s="17"/>
      <c r="G101" s="17"/>
      <c r="H101" s="17"/>
      <c r="K101"/>
      <c r="L101"/>
    </row>
    <row r="102" spans="1:12" s="7" customFormat="1" x14ac:dyDescent="0.25">
      <c r="A102" s="16" t="s">
        <v>2176</v>
      </c>
      <c r="B102" s="16" t="s">
        <v>2</v>
      </c>
      <c r="C102" s="17"/>
      <c r="D102" s="17"/>
      <c r="E102" s="17"/>
      <c r="F102" s="17"/>
      <c r="G102" s="17"/>
      <c r="H102" s="17"/>
      <c r="K102"/>
      <c r="L102"/>
    </row>
    <row r="103" spans="1:12" s="7" customFormat="1" x14ac:dyDescent="0.25">
      <c r="A103" s="18" t="s">
        <v>2177</v>
      </c>
      <c r="B103" s="18" t="s">
        <v>2178</v>
      </c>
      <c r="C103" s="19">
        <v>2559.56</v>
      </c>
      <c r="D103" s="19">
        <v>874.54</v>
      </c>
      <c r="E103" s="19">
        <v>2701.84</v>
      </c>
      <c r="F103" s="19">
        <v>2500</v>
      </c>
      <c r="G103" s="19">
        <v>2500</v>
      </c>
      <c r="H103" s="17"/>
      <c r="K103"/>
      <c r="L103"/>
    </row>
    <row r="104" spans="1:12" s="7" customFormat="1" ht="24" x14ac:dyDescent="0.25">
      <c r="A104" s="16" t="s">
        <v>2179</v>
      </c>
      <c r="B104" s="16" t="s">
        <v>2</v>
      </c>
      <c r="C104" s="20">
        <v>2559.56</v>
      </c>
      <c r="D104" s="20">
        <v>874.54</v>
      </c>
      <c r="E104" s="20">
        <f>E103</f>
        <v>2701.84</v>
      </c>
      <c r="F104" s="20">
        <f>SUM(F103)</f>
        <v>2500</v>
      </c>
      <c r="G104" s="20">
        <f>SUM(G103)</f>
        <v>2500</v>
      </c>
      <c r="H104" s="17"/>
      <c r="K104"/>
      <c r="L104"/>
    </row>
    <row r="105" spans="1:12" s="7" customFormat="1" x14ac:dyDescent="0.25">
      <c r="A105" s="16" t="s">
        <v>2</v>
      </c>
      <c r="B105" s="16" t="s">
        <v>2</v>
      </c>
      <c r="C105" s="16" t="s">
        <v>2</v>
      </c>
      <c r="D105" s="16" t="s">
        <v>2</v>
      </c>
      <c r="E105" s="16"/>
      <c r="F105" s="16" t="s">
        <v>2</v>
      </c>
      <c r="G105" s="16" t="s">
        <v>2</v>
      </c>
      <c r="H105" s="17"/>
      <c r="K105"/>
      <c r="L105"/>
    </row>
    <row r="106" spans="1:12" s="7" customFormat="1" ht="24" x14ac:dyDescent="0.25">
      <c r="A106" s="16" t="s">
        <v>2180</v>
      </c>
      <c r="B106" s="16" t="s">
        <v>2</v>
      </c>
      <c r="C106" s="20">
        <v>2559.56</v>
      </c>
      <c r="D106" s="20">
        <v>874.54</v>
      </c>
      <c r="E106" s="20">
        <f>E104</f>
        <v>2701.84</v>
      </c>
      <c r="F106" s="20">
        <f>F104</f>
        <v>2500</v>
      </c>
      <c r="G106" s="20">
        <f>G104</f>
        <v>2500</v>
      </c>
      <c r="H106" s="17"/>
      <c r="K106"/>
      <c r="L106"/>
    </row>
    <row r="107" spans="1:12" s="7" customFormat="1" x14ac:dyDescent="0.25">
      <c r="A107" s="18" t="s">
        <v>2</v>
      </c>
      <c r="B107" s="18" t="s">
        <v>2</v>
      </c>
      <c r="C107" s="18" t="s">
        <v>2</v>
      </c>
      <c r="D107" s="18" t="s">
        <v>2</v>
      </c>
      <c r="E107" s="18"/>
      <c r="F107" s="18" t="s">
        <v>2</v>
      </c>
      <c r="G107" s="18" t="s">
        <v>2</v>
      </c>
      <c r="H107" s="17"/>
      <c r="K107"/>
      <c r="L107"/>
    </row>
    <row r="108" spans="1:12" s="7" customFormat="1" ht="24" x14ac:dyDescent="0.25">
      <c r="A108" s="16" t="s">
        <v>2543</v>
      </c>
      <c r="B108" s="16" t="s">
        <v>2</v>
      </c>
      <c r="C108" s="17"/>
      <c r="D108" s="17"/>
      <c r="E108" s="17"/>
      <c r="F108" s="17"/>
      <c r="G108" s="17"/>
      <c r="H108" s="17"/>
      <c r="K108"/>
      <c r="L108"/>
    </row>
    <row r="109" spans="1:12" s="7" customFormat="1" x14ac:dyDescent="0.25">
      <c r="A109" s="18" t="s">
        <v>2181</v>
      </c>
      <c r="B109" s="18" t="s">
        <v>2182</v>
      </c>
      <c r="C109" s="19">
        <v>0</v>
      </c>
      <c r="D109" s="19">
        <v>0</v>
      </c>
      <c r="E109" s="19">
        <v>34</v>
      </c>
      <c r="F109" s="19">
        <v>0</v>
      </c>
      <c r="G109" s="19">
        <v>0</v>
      </c>
      <c r="H109" s="17"/>
      <c r="K109"/>
      <c r="L109"/>
    </row>
    <row r="110" spans="1:12" s="7" customFormat="1" x14ac:dyDescent="0.25">
      <c r="A110" s="18" t="s">
        <v>2183</v>
      </c>
      <c r="B110" s="18" t="s">
        <v>2184</v>
      </c>
      <c r="C110" s="19">
        <v>0</v>
      </c>
      <c r="D110" s="19">
        <v>0</v>
      </c>
      <c r="E110" s="19">
        <v>0</v>
      </c>
      <c r="F110" s="19">
        <v>0</v>
      </c>
      <c r="G110" s="19">
        <v>0</v>
      </c>
      <c r="H110" s="17"/>
      <c r="K110"/>
      <c r="L110"/>
    </row>
    <row r="111" spans="1:12" s="7" customFormat="1" x14ac:dyDescent="0.25">
      <c r="A111" s="18" t="s">
        <v>2185</v>
      </c>
      <c r="B111" s="18" t="s">
        <v>2186</v>
      </c>
      <c r="C111" s="19">
        <v>0</v>
      </c>
      <c r="D111" s="19">
        <v>0</v>
      </c>
      <c r="E111" s="19">
        <v>450</v>
      </c>
      <c r="F111" s="19">
        <v>0</v>
      </c>
      <c r="G111" s="19">
        <v>500</v>
      </c>
      <c r="H111" s="17"/>
      <c r="K111"/>
      <c r="L111"/>
    </row>
    <row r="112" spans="1:12" s="7" customFormat="1" x14ac:dyDescent="0.25">
      <c r="A112" s="18" t="s">
        <v>2187</v>
      </c>
      <c r="B112" s="18" t="s">
        <v>2188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  <c r="H112" s="17"/>
      <c r="K112"/>
      <c r="L112"/>
    </row>
    <row r="113" spans="1:12" s="7" customFormat="1" x14ac:dyDescent="0.25">
      <c r="A113" s="18" t="s">
        <v>2189</v>
      </c>
      <c r="B113" s="18" t="s">
        <v>2190</v>
      </c>
      <c r="C113" s="19">
        <v>2520.4299999999998</v>
      </c>
      <c r="D113" s="19">
        <v>569.66</v>
      </c>
      <c r="E113" s="19">
        <v>808.13</v>
      </c>
      <c r="F113" s="19">
        <v>3500</v>
      </c>
      <c r="G113" s="19">
        <v>800</v>
      </c>
      <c r="H113" s="17"/>
      <c r="K113"/>
      <c r="L113"/>
    </row>
    <row r="114" spans="1:12" s="7" customFormat="1" x14ac:dyDescent="0.25">
      <c r="A114" s="18" t="s">
        <v>2191</v>
      </c>
      <c r="B114" s="18" t="s">
        <v>2192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  <c r="H114" s="17"/>
      <c r="K114"/>
      <c r="L114"/>
    </row>
    <row r="115" spans="1:12" s="7" customFormat="1" x14ac:dyDescent="0.25">
      <c r="A115" s="18" t="s">
        <v>2193</v>
      </c>
      <c r="B115" s="18" t="s">
        <v>2194</v>
      </c>
      <c r="C115" s="19">
        <v>1.27</v>
      </c>
      <c r="D115" s="19">
        <v>0</v>
      </c>
      <c r="E115" s="19">
        <v>0</v>
      </c>
      <c r="F115" s="19">
        <v>0</v>
      </c>
      <c r="G115" s="19">
        <v>0</v>
      </c>
      <c r="H115" s="17"/>
      <c r="K115"/>
      <c r="L115"/>
    </row>
    <row r="116" spans="1:12" s="7" customFormat="1" x14ac:dyDescent="0.25">
      <c r="A116" s="18" t="s">
        <v>2195</v>
      </c>
      <c r="B116" s="18" t="s">
        <v>2196</v>
      </c>
      <c r="C116" s="19">
        <v>1187</v>
      </c>
      <c r="D116" s="19">
        <v>772.67</v>
      </c>
      <c r="E116" s="19">
        <v>1398.77</v>
      </c>
      <c r="F116" s="19">
        <v>1000</v>
      </c>
      <c r="G116" s="19">
        <v>1200</v>
      </c>
      <c r="H116" s="17"/>
      <c r="K116"/>
      <c r="L116"/>
    </row>
    <row r="117" spans="1:12" s="7" customFormat="1" x14ac:dyDescent="0.25">
      <c r="A117" s="18" t="s">
        <v>2197</v>
      </c>
      <c r="B117" s="18" t="s">
        <v>2198</v>
      </c>
      <c r="C117" s="19">
        <v>0</v>
      </c>
      <c r="D117" s="19">
        <v>120</v>
      </c>
      <c r="E117" s="19">
        <v>150</v>
      </c>
      <c r="F117" s="19">
        <v>1000</v>
      </c>
      <c r="G117" s="19">
        <v>150</v>
      </c>
      <c r="H117" s="17"/>
      <c r="K117"/>
      <c r="L117"/>
    </row>
    <row r="118" spans="1:12" s="7" customFormat="1" x14ac:dyDescent="0.25">
      <c r="A118" s="18" t="s">
        <v>2199</v>
      </c>
      <c r="B118" s="18" t="s">
        <v>2200</v>
      </c>
      <c r="C118" s="19">
        <v>523532.55</v>
      </c>
      <c r="D118" s="19">
        <v>432447.83</v>
      </c>
      <c r="E118" s="19">
        <v>432447.83</v>
      </c>
      <c r="F118" s="19">
        <v>432447.83</v>
      </c>
      <c r="G118" s="19">
        <v>432000</v>
      </c>
      <c r="H118" s="17"/>
      <c r="K118"/>
      <c r="L118"/>
    </row>
    <row r="119" spans="1:12" s="7" customFormat="1" x14ac:dyDescent="0.25">
      <c r="A119" s="18" t="s">
        <v>2201</v>
      </c>
      <c r="B119" s="18" t="s">
        <v>2202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  <c r="H119" s="17"/>
      <c r="K119"/>
      <c r="L119"/>
    </row>
    <row r="120" spans="1:12" s="7" customFormat="1" ht="15" customHeight="1" x14ac:dyDescent="0.25">
      <c r="A120" s="18" t="s">
        <v>2203</v>
      </c>
      <c r="B120" s="18" t="s">
        <v>2204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  <c r="H120" s="17"/>
      <c r="K120"/>
      <c r="L120"/>
    </row>
    <row r="121" spans="1:12" s="7" customFormat="1" x14ac:dyDescent="0.25">
      <c r="A121" s="18" t="s">
        <v>2205</v>
      </c>
      <c r="B121" s="18" t="s">
        <v>2206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  <c r="H121" s="17"/>
      <c r="K121"/>
      <c r="L121"/>
    </row>
    <row r="122" spans="1:12" s="7" customFormat="1" x14ac:dyDescent="0.25">
      <c r="A122" s="18" t="s">
        <v>2207</v>
      </c>
      <c r="B122" s="18" t="s">
        <v>2208</v>
      </c>
      <c r="C122" s="19">
        <v>1.22</v>
      </c>
      <c r="D122" s="19">
        <v>0</v>
      </c>
      <c r="E122" s="19">
        <v>0</v>
      </c>
      <c r="F122" s="19">
        <v>0</v>
      </c>
      <c r="G122" s="19">
        <v>0</v>
      </c>
      <c r="H122" s="17"/>
      <c r="K122"/>
      <c r="L122"/>
    </row>
    <row r="123" spans="1:12" s="7" customFormat="1" x14ac:dyDescent="0.25">
      <c r="A123" s="18" t="s">
        <v>2209</v>
      </c>
      <c r="B123" s="18" t="s">
        <v>2210</v>
      </c>
      <c r="C123" s="19">
        <v>422.7</v>
      </c>
      <c r="D123" s="19">
        <v>19.350000000000001</v>
      </c>
      <c r="E123" s="19">
        <v>39.299999999999997</v>
      </c>
      <c r="F123" s="19">
        <v>0</v>
      </c>
      <c r="G123" s="19">
        <v>0</v>
      </c>
      <c r="H123" s="17"/>
      <c r="K123"/>
      <c r="L123"/>
    </row>
    <row r="124" spans="1:12" s="7" customFormat="1" x14ac:dyDescent="0.25">
      <c r="A124" s="18" t="s">
        <v>2211</v>
      </c>
      <c r="B124" s="18" t="s">
        <v>2212</v>
      </c>
      <c r="C124" s="19">
        <v>33</v>
      </c>
      <c r="D124" s="19">
        <v>0</v>
      </c>
      <c r="E124" s="19">
        <v>25.65</v>
      </c>
      <c r="F124" s="19">
        <v>0</v>
      </c>
      <c r="G124" s="19">
        <v>0</v>
      </c>
      <c r="H124" s="17"/>
      <c r="K124"/>
      <c r="L124"/>
    </row>
    <row r="125" spans="1:12" s="7" customFormat="1" x14ac:dyDescent="0.25">
      <c r="A125" s="18" t="s">
        <v>2213</v>
      </c>
      <c r="B125" s="18" t="s">
        <v>2214</v>
      </c>
      <c r="C125" s="19">
        <v>485.28</v>
      </c>
      <c r="D125" s="19">
        <v>0</v>
      </c>
      <c r="E125" s="19">
        <v>0</v>
      </c>
      <c r="F125" s="19">
        <v>0</v>
      </c>
      <c r="G125" s="19">
        <v>0</v>
      </c>
      <c r="H125" s="17"/>
      <c r="K125"/>
      <c r="L125"/>
    </row>
    <row r="126" spans="1:12" s="7" customFormat="1" x14ac:dyDescent="0.25">
      <c r="A126" s="18" t="s">
        <v>2215</v>
      </c>
      <c r="B126" s="18" t="s">
        <v>2216</v>
      </c>
      <c r="C126" s="19">
        <v>552</v>
      </c>
      <c r="D126" s="19">
        <v>232</v>
      </c>
      <c r="E126" s="19">
        <v>488</v>
      </c>
      <c r="F126" s="19">
        <v>500</v>
      </c>
      <c r="G126" s="19">
        <v>500</v>
      </c>
      <c r="H126" s="17"/>
      <c r="K126"/>
      <c r="L126"/>
    </row>
    <row r="127" spans="1:12" s="7" customFormat="1" x14ac:dyDescent="0.25">
      <c r="A127" s="18" t="s">
        <v>2217</v>
      </c>
      <c r="B127" s="18" t="s">
        <v>2218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  <c r="H127" s="17"/>
      <c r="K127"/>
      <c r="L127"/>
    </row>
    <row r="128" spans="1:12" s="7" customFormat="1" x14ac:dyDescent="0.25">
      <c r="A128" s="18" t="s">
        <v>2219</v>
      </c>
      <c r="B128" s="18" t="s">
        <v>2220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7"/>
      <c r="K128"/>
      <c r="L128"/>
    </row>
    <row r="129" spans="1:12" s="7" customFormat="1" x14ac:dyDescent="0.25">
      <c r="A129" s="18" t="s">
        <v>2221</v>
      </c>
      <c r="B129" s="18" t="s">
        <v>2222</v>
      </c>
      <c r="C129" s="19">
        <v>19.739999999999998</v>
      </c>
      <c r="D129" s="19">
        <v>10.45</v>
      </c>
      <c r="E129" s="19">
        <v>24.55</v>
      </c>
      <c r="F129" s="19">
        <v>0</v>
      </c>
      <c r="G129" s="19">
        <v>0</v>
      </c>
      <c r="H129" s="17"/>
      <c r="K129"/>
      <c r="L129"/>
    </row>
    <row r="130" spans="1:12" s="7" customFormat="1" x14ac:dyDescent="0.25">
      <c r="A130" s="18" t="s">
        <v>2223</v>
      </c>
      <c r="B130" s="18" t="s">
        <v>2224</v>
      </c>
      <c r="C130" s="19">
        <v>13773.8</v>
      </c>
      <c r="D130" s="19">
        <v>9637.7000000000007</v>
      </c>
      <c r="E130" s="19">
        <v>13307.62</v>
      </c>
      <c r="F130" s="19">
        <v>10000</v>
      </c>
      <c r="G130" s="19">
        <v>10000</v>
      </c>
      <c r="H130" s="17"/>
      <c r="K130"/>
      <c r="L130"/>
    </row>
    <row r="131" spans="1:12" s="7" customFormat="1" x14ac:dyDescent="0.25">
      <c r="A131" s="18" t="s">
        <v>2225</v>
      </c>
      <c r="B131" s="18" t="s">
        <v>2226</v>
      </c>
      <c r="C131" s="19">
        <v>1950.12</v>
      </c>
      <c r="D131" s="19">
        <v>429.5</v>
      </c>
      <c r="E131" s="19">
        <v>1060.53</v>
      </c>
      <c r="F131" s="19">
        <v>1200</v>
      </c>
      <c r="G131" s="19">
        <v>1000</v>
      </c>
      <c r="H131" s="17"/>
      <c r="K131"/>
      <c r="L131"/>
    </row>
    <row r="132" spans="1:12" s="7" customFormat="1" x14ac:dyDescent="0.25">
      <c r="A132" s="18" t="s">
        <v>2227</v>
      </c>
      <c r="B132" s="18" t="s">
        <v>2228</v>
      </c>
      <c r="C132" s="19">
        <v>15086.8</v>
      </c>
      <c r="D132" s="19">
        <v>7268.96</v>
      </c>
      <c r="E132" s="19">
        <v>12701.53</v>
      </c>
      <c r="F132" s="19">
        <v>15000</v>
      </c>
      <c r="G132" s="19">
        <v>15000</v>
      </c>
      <c r="H132" s="17"/>
      <c r="K132"/>
      <c r="L132"/>
    </row>
    <row r="133" spans="1:12" s="7" customFormat="1" x14ac:dyDescent="0.25">
      <c r="A133" s="18" t="s">
        <v>2229</v>
      </c>
      <c r="B133" s="18" t="s">
        <v>2230</v>
      </c>
      <c r="C133" s="19">
        <v>1096.29</v>
      </c>
      <c r="D133" s="19">
        <v>119.67</v>
      </c>
      <c r="E133" s="19">
        <v>219.67</v>
      </c>
      <c r="F133" s="19">
        <v>1000</v>
      </c>
      <c r="G133" s="19">
        <v>1000</v>
      </c>
      <c r="H133" s="17"/>
      <c r="K133"/>
      <c r="L133"/>
    </row>
    <row r="134" spans="1:12" s="7" customFormat="1" x14ac:dyDescent="0.25">
      <c r="A134" s="18" t="s">
        <v>2231</v>
      </c>
      <c r="B134" s="18" t="s">
        <v>2232</v>
      </c>
      <c r="C134" s="19">
        <v>1682.64</v>
      </c>
      <c r="D134" s="19">
        <v>1383.78</v>
      </c>
      <c r="E134" s="19">
        <v>2065.39</v>
      </c>
      <c r="F134" s="19">
        <v>2500</v>
      </c>
      <c r="G134" s="19">
        <v>2500</v>
      </c>
      <c r="H134" s="17"/>
      <c r="K134"/>
      <c r="L134"/>
    </row>
    <row r="135" spans="1:12" s="7" customFormat="1" x14ac:dyDescent="0.25">
      <c r="A135" s="18" t="s">
        <v>2233</v>
      </c>
      <c r="B135" s="18" t="s">
        <v>2234</v>
      </c>
      <c r="C135" s="19">
        <v>3503.28</v>
      </c>
      <c r="D135" s="19">
        <v>1019.97</v>
      </c>
      <c r="E135" s="19">
        <v>2191.58</v>
      </c>
      <c r="F135" s="19">
        <v>1500</v>
      </c>
      <c r="G135" s="19">
        <v>2000</v>
      </c>
      <c r="H135" s="17"/>
      <c r="K135"/>
      <c r="L135"/>
    </row>
    <row r="136" spans="1:12" s="7" customFormat="1" x14ac:dyDescent="0.25">
      <c r="A136" s="18" t="s">
        <v>2235</v>
      </c>
      <c r="B136" s="18" t="s">
        <v>2236</v>
      </c>
      <c r="C136" s="19">
        <v>150</v>
      </c>
      <c r="D136" s="19">
        <v>0</v>
      </c>
      <c r="E136" s="19">
        <v>0</v>
      </c>
      <c r="F136" s="19">
        <v>0</v>
      </c>
      <c r="G136" s="19">
        <v>0</v>
      </c>
      <c r="H136" s="17"/>
      <c r="K136"/>
      <c r="L136"/>
    </row>
    <row r="137" spans="1:12" s="7" customFormat="1" x14ac:dyDescent="0.25">
      <c r="A137" s="18" t="s">
        <v>2237</v>
      </c>
      <c r="B137" s="18" t="s">
        <v>2238</v>
      </c>
      <c r="C137" s="19">
        <v>5300</v>
      </c>
      <c r="D137" s="19">
        <v>3900</v>
      </c>
      <c r="E137" s="19">
        <v>5500</v>
      </c>
      <c r="F137" s="19">
        <v>4000</v>
      </c>
      <c r="G137" s="19">
        <v>4500</v>
      </c>
      <c r="H137" s="17"/>
      <c r="K137"/>
      <c r="L137"/>
    </row>
    <row r="138" spans="1:12" s="7" customFormat="1" x14ac:dyDescent="0.25">
      <c r="A138" s="18" t="s">
        <v>2239</v>
      </c>
      <c r="B138" s="18" t="s">
        <v>2240</v>
      </c>
      <c r="C138" s="19">
        <v>0</v>
      </c>
      <c r="D138" s="19">
        <v>0</v>
      </c>
      <c r="E138" s="19">
        <v>0</v>
      </c>
      <c r="F138" s="19">
        <v>0</v>
      </c>
      <c r="G138" s="19">
        <v>0</v>
      </c>
      <c r="H138" s="17"/>
      <c r="K138"/>
      <c r="L138"/>
    </row>
    <row r="139" spans="1:12" s="7" customFormat="1" x14ac:dyDescent="0.25">
      <c r="A139" s="18" t="s">
        <v>2241</v>
      </c>
      <c r="B139" s="18" t="s">
        <v>2242</v>
      </c>
      <c r="C139" s="19">
        <v>43267</v>
      </c>
      <c r="D139" s="19">
        <v>13874</v>
      </c>
      <c r="E139" s="19">
        <v>15947</v>
      </c>
      <c r="F139" s="19">
        <v>30000</v>
      </c>
      <c r="G139" s="19">
        <v>20000</v>
      </c>
      <c r="H139" s="17"/>
      <c r="K139"/>
      <c r="L139"/>
    </row>
    <row r="140" spans="1:12" s="7" customFormat="1" x14ac:dyDescent="0.25">
      <c r="A140" s="18" t="s">
        <v>2243</v>
      </c>
      <c r="B140" s="18" t="s">
        <v>2244</v>
      </c>
      <c r="C140" s="19">
        <v>1589.86</v>
      </c>
      <c r="D140" s="19">
        <v>1012</v>
      </c>
      <c r="E140" s="19">
        <v>3813</v>
      </c>
      <c r="F140" s="19">
        <v>10000</v>
      </c>
      <c r="G140" s="19">
        <v>5000</v>
      </c>
      <c r="H140" s="17"/>
      <c r="K140"/>
      <c r="L140"/>
    </row>
    <row r="141" spans="1:12" s="7" customFormat="1" x14ac:dyDescent="0.25">
      <c r="A141" s="18" t="s">
        <v>2245</v>
      </c>
      <c r="B141" s="18" t="s">
        <v>2246</v>
      </c>
      <c r="C141" s="19">
        <v>6026</v>
      </c>
      <c r="D141" s="19">
        <v>8041</v>
      </c>
      <c r="E141" s="19">
        <v>13368</v>
      </c>
      <c r="F141" s="19">
        <v>2000</v>
      </c>
      <c r="G141" s="19">
        <v>2000</v>
      </c>
      <c r="H141" s="17"/>
      <c r="K141"/>
      <c r="L141"/>
    </row>
    <row r="142" spans="1:12" s="7" customFormat="1" x14ac:dyDescent="0.25">
      <c r="A142" s="18" t="s">
        <v>2247</v>
      </c>
      <c r="B142" s="18" t="s">
        <v>2248</v>
      </c>
      <c r="C142" s="19">
        <v>5751.25</v>
      </c>
      <c r="D142" s="19">
        <v>0</v>
      </c>
      <c r="E142" s="19">
        <v>0</v>
      </c>
      <c r="F142" s="19">
        <v>0</v>
      </c>
      <c r="G142" s="19">
        <v>0</v>
      </c>
      <c r="H142" s="17"/>
      <c r="K142"/>
      <c r="L142"/>
    </row>
    <row r="143" spans="1:12" s="7" customFormat="1" x14ac:dyDescent="0.25">
      <c r="A143" s="18" t="s">
        <v>2249</v>
      </c>
      <c r="B143" s="18" t="s">
        <v>2250</v>
      </c>
      <c r="C143" s="19">
        <v>2220</v>
      </c>
      <c r="D143" s="19">
        <v>0</v>
      </c>
      <c r="E143" s="19">
        <v>0</v>
      </c>
      <c r="F143" s="19">
        <v>0</v>
      </c>
      <c r="G143" s="19">
        <v>0</v>
      </c>
      <c r="H143" s="17"/>
      <c r="K143"/>
      <c r="L143"/>
    </row>
    <row r="144" spans="1:12" s="7" customFormat="1" x14ac:dyDescent="0.25">
      <c r="A144" s="18" t="s">
        <v>2251</v>
      </c>
      <c r="B144" s="18" t="s">
        <v>2252</v>
      </c>
      <c r="C144" s="19">
        <v>1975</v>
      </c>
      <c r="D144" s="19">
        <v>0</v>
      </c>
      <c r="E144" s="19">
        <v>420</v>
      </c>
      <c r="F144" s="19">
        <v>1000</v>
      </c>
      <c r="G144" s="19">
        <v>1000</v>
      </c>
      <c r="H144" s="17"/>
      <c r="K144"/>
      <c r="L144"/>
    </row>
    <row r="145" spans="1:12" s="7" customFormat="1" x14ac:dyDescent="0.25">
      <c r="A145" s="18" t="s">
        <v>2253</v>
      </c>
      <c r="B145" s="18" t="s">
        <v>2254</v>
      </c>
      <c r="C145" s="19">
        <v>6420</v>
      </c>
      <c r="D145" s="19">
        <v>2313</v>
      </c>
      <c r="E145" s="19">
        <v>4773</v>
      </c>
      <c r="F145" s="19">
        <v>3000</v>
      </c>
      <c r="G145" s="19">
        <v>3000</v>
      </c>
      <c r="H145" s="17"/>
      <c r="K145"/>
      <c r="L145"/>
    </row>
    <row r="146" spans="1:12" s="7" customFormat="1" x14ac:dyDescent="0.25">
      <c r="A146" s="18" t="s">
        <v>2255</v>
      </c>
      <c r="B146" s="18" t="s">
        <v>2256</v>
      </c>
      <c r="C146" s="19">
        <v>9031</v>
      </c>
      <c r="D146" s="19">
        <v>9592</v>
      </c>
      <c r="E146" s="19">
        <v>17440</v>
      </c>
      <c r="F146" s="19">
        <v>10000</v>
      </c>
      <c r="G146" s="19">
        <v>10000</v>
      </c>
      <c r="H146" s="17"/>
      <c r="K146"/>
      <c r="L146"/>
    </row>
    <row r="147" spans="1:12" s="7" customFormat="1" x14ac:dyDescent="0.25">
      <c r="A147" s="18" t="s">
        <v>2257</v>
      </c>
      <c r="B147" s="18" t="s">
        <v>2258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  <c r="H147" s="17"/>
      <c r="K147"/>
      <c r="L147"/>
    </row>
    <row r="148" spans="1:12" s="7" customFormat="1" x14ac:dyDescent="0.25">
      <c r="A148" s="18" t="s">
        <v>2259</v>
      </c>
      <c r="B148" s="18" t="s">
        <v>2260</v>
      </c>
      <c r="C148" s="19">
        <v>244185.18</v>
      </c>
      <c r="D148" s="19">
        <v>0</v>
      </c>
      <c r="E148" s="19">
        <v>0</v>
      </c>
      <c r="F148" s="19">
        <v>150000</v>
      </c>
      <c r="G148" s="19">
        <v>0</v>
      </c>
      <c r="H148" s="17"/>
      <c r="K148"/>
      <c r="L148"/>
    </row>
    <row r="149" spans="1:12" s="7" customFormat="1" x14ac:dyDescent="0.25">
      <c r="A149" s="18" t="s">
        <v>2261</v>
      </c>
      <c r="B149" s="18" t="s">
        <v>2262</v>
      </c>
      <c r="C149" s="19">
        <v>650</v>
      </c>
      <c r="D149" s="19">
        <v>11</v>
      </c>
      <c r="E149" s="19">
        <v>11</v>
      </c>
      <c r="F149" s="19">
        <v>0</v>
      </c>
      <c r="G149" s="19">
        <v>0</v>
      </c>
      <c r="H149" s="17"/>
      <c r="K149"/>
      <c r="L149"/>
    </row>
    <row r="150" spans="1:12" s="7" customFormat="1" x14ac:dyDescent="0.25">
      <c r="A150" s="18" t="s">
        <v>2263</v>
      </c>
      <c r="B150" s="18" t="s">
        <v>2264</v>
      </c>
      <c r="C150" s="19">
        <v>0</v>
      </c>
      <c r="D150" s="19">
        <v>2703</v>
      </c>
      <c r="E150" s="19">
        <v>2703</v>
      </c>
      <c r="F150" s="19">
        <v>0</v>
      </c>
      <c r="G150" s="19">
        <v>0</v>
      </c>
      <c r="H150" s="17"/>
      <c r="K150"/>
      <c r="L150"/>
    </row>
    <row r="151" spans="1:12" s="7" customFormat="1" x14ac:dyDescent="0.25">
      <c r="A151" s="18" t="s">
        <v>2265</v>
      </c>
      <c r="B151" s="18" t="s">
        <v>2266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  <c r="H151" s="17"/>
      <c r="K151"/>
      <c r="L151"/>
    </row>
    <row r="152" spans="1:12" s="7" customFormat="1" x14ac:dyDescent="0.25">
      <c r="A152" s="18" t="s">
        <v>2267</v>
      </c>
      <c r="B152" s="18" t="s">
        <v>2268</v>
      </c>
      <c r="C152" s="19">
        <v>2032.5</v>
      </c>
      <c r="D152" s="19">
        <v>0</v>
      </c>
      <c r="E152" s="19">
        <v>0</v>
      </c>
      <c r="F152" s="19">
        <v>0</v>
      </c>
      <c r="G152" s="19">
        <v>0</v>
      </c>
      <c r="H152" s="17"/>
      <c r="K152"/>
      <c r="L152"/>
    </row>
    <row r="153" spans="1:12" s="7" customFormat="1" x14ac:dyDescent="0.25">
      <c r="A153" s="18" t="s">
        <v>2269</v>
      </c>
      <c r="B153" s="18" t="s">
        <v>2270</v>
      </c>
      <c r="C153" s="19">
        <v>0</v>
      </c>
      <c r="D153" s="19">
        <v>0</v>
      </c>
      <c r="E153" s="19">
        <v>0</v>
      </c>
      <c r="F153" s="19">
        <v>0</v>
      </c>
      <c r="G153" s="19">
        <v>0</v>
      </c>
      <c r="H153" s="17"/>
      <c r="K153"/>
      <c r="L153"/>
    </row>
    <row r="154" spans="1:12" s="7" customFormat="1" x14ac:dyDescent="0.25">
      <c r="A154" s="18" t="s">
        <v>2271</v>
      </c>
      <c r="B154" s="18" t="s">
        <v>2272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  <c r="H154" s="17"/>
      <c r="K154"/>
      <c r="L154"/>
    </row>
    <row r="155" spans="1:12" s="7" customFormat="1" x14ac:dyDescent="0.25">
      <c r="A155" s="18" t="s">
        <v>2273</v>
      </c>
      <c r="B155" s="18" t="s">
        <v>2274</v>
      </c>
      <c r="C155" s="19">
        <v>0</v>
      </c>
      <c r="D155" s="19">
        <v>5246</v>
      </c>
      <c r="E155" s="19">
        <v>5246</v>
      </c>
      <c r="F155" s="19">
        <v>0</v>
      </c>
      <c r="G155" s="19">
        <v>0</v>
      </c>
      <c r="H155" s="17"/>
      <c r="K155"/>
      <c r="L155"/>
    </row>
    <row r="156" spans="1:12" s="7" customFormat="1" x14ac:dyDescent="0.25">
      <c r="A156" s="18" t="s">
        <v>2275</v>
      </c>
      <c r="B156" s="18" t="s">
        <v>2276</v>
      </c>
      <c r="C156" s="19">
        <v>17334.5</v>
      </c>
      <c r="D156" s="19">
        <v>0</v>
      </c>
      <c r="E156" s="19">
        <v>0</v>
      </c>
      <c r="F156" s="19">
        <v>0</v>
      </c>
      <c r="G156" s="19">
        <v>0</v>
      </c>
      <c r="H156" s="17"/>
      <c r="K156"/>
      <c r="L156"/>
    </row>
    <row r="157" spans="1:12" s="7" customFormat="1" x14ac:dyDescent="0.25">
      <c r="A157" s="18" t="s">
        <v>2277</v>
      </c>
      <c r="B157" s="18" t="s">
        <v>2278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  <c r="H157" s="17"/>
      <c r="K157"/>
      <c r="L157"/>
    </row>
    <row r="158" spans="1:12" s="7" customFormat="1" x14ac:dyDescent="0.25">
      <c r="A158" s="18" t="s">
        <v>2279</v>
      </c>
      <c r="B158" s="18" t="s">
        <v>2280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  <c r="H158" s="17"/>
      <c r="K158"/>
      <c r="L158"/>
    </row>
    <row r="159" spans="1:12" s="7" customFormat="1" x14ac:dyDescent="0.25">
      <c r="A159" s="18" t="s">
        <v>2281</v>
      </c>
      <c r="B159" s="18" t="s">
        <v>2282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  <c r="H159" s="17"/>
      <c r="K159"/>
      <c r="L159"/>
    </row>
    <row r="160" spans="1:12" s="7" customFormat="1" x14ac:dyDescent="0.25">
      <c r="A160" s="18" t="s">
        <v>2283</v>
      </c>
      <c r="B160" s="18" t="s">
        <v>2284</v>
      </c>
      <c r="C160" s="19">
        <v>692045.27</v>
      </c>
      <c r="D160" s="19">
        <v>146327.25</v>
      </c>
      <c r="E160" s="19">
        <v>91101.1</v>
      </c>
      <c r="F160" s="19">
        <v>220000</v>
      </c>
      <c r="G160" s="19">
        <v>100000</v>
      </c>
      <c r="H160" s="17"/>
      <c r="K160"/>
      <c r="L160"/>
    </row>
    <row r="161" spans="1:12" s="7" customFormat="1" x14ac:dyDescent="0.25">
      <c r="A161" s="18" t="s">
        <v>2285</v>
      </c>
      <c r="B161" s="18" t="s">
        <v>2286</v>
      </c>
      <c r="C161" s="19">
        <v>0</v>
      </c>
      <c r="D161" s="19">
        <v>0</v>
      </c>
      <c r="E161" s="19">
        <v>0</v>
      </c>
      <c r="F161" s="19">
        <v>0</v>
      </c>
      <c r="G161" s="19">
        <v>0</v>
      </c>
      <c r="H161" s="17"/>
      <c r="K161"/>
      <c r="L161"/>
    </row>
    <row r="162" spans="1:12" s="7" customFormat="1" x14ac:dyDescent="0.25">
      <c r="A162" s="18" t="s">
        <v>2287</v>
      </c>
      <c r="B162" s="18" t="s">
        <v>2288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  <c r="H162" s="17"/>
      <c r="K162"/>
      <c r="L162"/>
    </row>
    <row r="163" spans="1:12" s="7" customFormat="1" x14ac:dyDescent="0.25">
      <c r="A163" s="18" t="s">
        <v>2289</v>
      </c>
      <c r="B163" s="18" t="s">
        <v>2290</v>
      </c>
      <c r="C163" s="19">
        <v>6132</v>
      </c>
      <c r="D163" s="19">
        <v>7400</v>
      </c>
      <c r="E163" s="19">
        <v>12060</v>
      </c>
      <c r="F163" s="19">
        <v>3000</v>
      </c>
      <c r="G163" s="19">
        <v>3000</v>
      </c>
      <c r="H163" s="17"/>
      <c r="K163"/>
      <c r="L163"/>
    </row>
    <row r="164" spans="1:12" s="7" customFormat="1" x14ac:dyDescent="0.25">
      <c r="A164" s="18" t="s">
        <v>2291</v>
      </c>
      <c r="B164" s="18" t="s">
        <v>2292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  <c r="H164" s="17"/>
      <c r="K164"/>
      <c r="L164"/>
    </row>
    <row r="165" spans="1:12" s="7" customFormat="1" x14ac:dyDescent="0.25">
      <c r="A165" s="18" t="s">
        <v>2293</v>
      </c>
      <c r="B165" s="18" t="s">
        <v>2294</v>
      </c>
      <c r="C165" s="19">
        <v>9709.75</v>
      </c>
      <c r="D165" s="19">
        <v>9118.75</v>
      </c>
      <c r="E165" s="19">
        <v>10986.5</v>
      </c>
      <c r="F165" s="19">
        <v>3000</v>
      </c>
      <c r="G165" s="19">
        <v>3000</v>
      </c>
      <c r="H165" s="17"/>
      <c r="K165"/>
      <c r="L165"/>
    </row>
    <row r="166" spans="1:12" s="7" customFormat="1" x14ac:dyDescent="0.25">
      <c r="A166" s="18" t="s">
        <v>2295</v>
      </c>
      <c r="B166" s="18" t="s">
        <v>2296</v>
      </c>
      <c r="C166" s="19">
        <v>600</v>
      </c>
      <c r="D166" s="19">
        <v>600</v>
      </c>
      <c r="E166" s="19">
        <v>600</v>
      </c>
      <c r="F166" s="19">
        <v>600</v>
      </c>
      <c r="G166" s="19">
        <v>600</v>
      </c>
      <c r="H166" s="17"/>
      <c r="K166"/>
      <c r="L166"/>
    </row>
    <row r="167" spans="1:12" s="7" customFormat="1" x14ac:dyDescent="0.25">
      <c r="A167" s="18" t="s">
        <v>2297</v>
      </c>
      <c r="B167" s="18" t="s">
        <v>2298</v>
      </c>
      <c r="C167" s="19">
        <v>350</v>
      </c>
      <c r="D167" s="19">
        <v>133.5</v>
      </c>
      <c r="E167" s="19">
        <v>317.5</v>
      </c>
      <c r="F167" s="19">
        <v>0</v>
      </c>
      <c r="G167" s="19">
        <v>0</v>
      </c>
      <c r="H167" s="17"/>
      <c r="K167"/>
      <c r="L167"/>
    </row>
    <row r="168" spans="1:12" s="7" customFormat="1" x14ac:dyDescent="0.25">
      <c r="A168" s="18" t="s">
        <v>2299</v>
      </c>
      <c r="B168" s="18" t="s">
        <v>2300</v>
      </c>
      <c r="C168" s="19">
        <v>6208</v>
      </c>
      <c r="D168" s="19">
        <v>3102</v>
      </c>
      <c r="E168" s="19">
        <v>5167.5</v>
      </c>
      <c r="F168" s="19">
        <v>3000</v>
      </c>
      <c r="G168" s="19">
        <v>3000</v>
      </c>
      <c r="H168" s="17"/>
      <c r="K168"/>
      <c r="L168"/>
    </row>
    <row r="169" spans="1:12" s="7" customFormat="1" x14ac:dyDescent="0.25">
      <c r="A169" s="18" t="s">
        <v>2301</v>
      </c>
      <c r="B169" s="18" t="s">
        <v>2302</v>
      </c>
      <c r="C169" s="19">
        <v>380</v>
      </c>
      <c r="D169" s="19">
        <v>14995</v>
      </c>
      <c r="E169" s="19">
        <v>14995</v>
      </c>
      <c r="F169" s="19">
        <v>0</v>
      </c>
      <c r="G169" s="19">
        <v>0</v>
      </c>
      <c r="H169" s="17"/>
      <c r="K169"/>
      <c r="L169"/>
    </row>
    <row r="170" spans="1:12" s="7" customFormat="1" x14ac:dyDescent="0.25">
      <c r="A170" s="18" t="s">
        <v>2303</v>
      </c>
      <c r="B170" s="18" t="s">
        <v>2304</v>
      </c>
      <c r="C170" s="19">
        <v>794</v>
      </c>
      <c r="D170" s="19">
        <v>35</v>
      </c>
      <c r="E170" s="19">
        <v>1026</v>
      </c>
      <c r="F170" s="19">
        <v>0</v>
      </c>
      <c r="G170" s="19">
        <v>0</v>
      </c>
      <c r="H170" s="17"/>
      <c r="K170"/>
      <c r="L170"/>
    </row>
    <row r="171" spans="1:12" s="7" customFormat="1" x14ac:dyDescent="0.25">
      <c r="A171" s="18" t="s">
        <v>2305</v>
      </c>
      <c r="B171" s="18" t="s">
        <v>2306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  <c r="H171" s="17"/>
      <c r="K171"/>
      <c r="L171"/>
    </row>
    <row r="172" spans="1:12" s="7" customFormat="1" x14ac:dyDescent="0.25">
      <c r="A172" s="18" t="s">
        <v>2307</v>
      </c>
      <c r="B172" s="18" t="s">
        <v>2308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  <c r="H172" s="17"/>
      <c r="K172"/>
      <c r="L172"/>
    </row>
    <row r="173" spans="1:12" s="7" customFormat="1" x14ac:dyDescent="0.25">
      <c r="A173" s="18" t="s">
        <v>2309</v>
      </c>
      <c r="B173" s="18" t="s">
        <v>2310</v>
      </c>
      <c r="C173" s="19">
        <v>18835</v>
      </c>
      <c r="D173" s="19">
        <v>840</v>
      </c>
      <c r="E173" s="19">
        <v>9789</v>
      </c>
      <c r="F173" s="19">
        <v>10000</v>
      </c>
      <c r="G173" s="19">
        <v>10000</v>
      </c>
      <c r="H173" s="17"/>
      <c r="K173"/>
      <c r="L173"/>
    </row>
    <row r="174" spans="1:12" s="7" customFormat="1" x14ac:dyDescent="0.25">
      <c r="A174" s="18" t="s">
        <v>2311</v>
      </c>
      <c r="B174" s="18" t="s">
        <v>2312</v>
      </c>
      <c r="C174" s="19">
        <v>490</v>
      </c>
      <c r="D174" s="19">
        <v>1620</v>
      </c>
      <c r="E174" s="19">
        <v>3120</v>
      </c>
      <c r="F174" s="19">
        <v>0</v>
      </c>
      <c r="G174" s="19">
        <v>0</v>
      </c>
      <c r="H174" s="17"/>
      <c r="K174"/>
      <c r="L174"/>
    </row>
    <row r="175" spans="1:12" s="7" customFormat="1" x14ac:dyDescent="0.25">
      <c r="A175" s="18" t="s">
        <v>2313</v>
      </c>
      <c r="B175" s="18" t="s">
        <v>2314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7"/>
      <c r="K175"/>
      <c r="L175"/>
    </row>
    <row r="176" spans="1:12" s="7" customFormat="1" x14ac:dyDescent="0.25">
      <c r="A176" s="18" t="s">
        <v>2315</v>
      </c>
      <c r="B176" s="18" t="s">
        <v>2316</v>
      </c>
      <c r="C176" s="19">
        <v>4750</v>
      </c>
      <c r="D176" s="19">
        <v>0</v>
      </c>
      <c r="E176" s="19">
        <v>2000</v>
      </c>
      <c r="F176" s="19">
        <v>2000</v>
      </c>
      <c r="G176" s="19">
        <v>2000</v>
      </c>
      <c r="H176" s="17"/>
      <c r="K176"/>
      <c r="L176"/>
    </row>
    <row r="177" spans="1:12" s="7" customFormat="1" ht="24" x14ac:dyDescent="0.25">
      <c r="A177" s="16" t="s">
        <v>2544</v>
      </c>
      <c r="B177" s="16" t="s">
        <v>2</v>
      </c>
      <c r="C177" s="20">
        <v>1652074.43</v>
      </c>
      <c r="D177" s="20">
        <v>684895.04</v>
      </c>
      <c r="E177" s="20">
        <f>SUM(E109:E176)</f>
        <v>687796.15</v>
      </c>
      <c r="F177" s="20">
        <f>SUM(F109:F176)</f>
        <v>921247.83000000007</v>
      </c>
      <c r="G177" s="20">
        <f>SUM(G109:G176)</f>
        <v>633750</v>
      </c>
      <c r="H177" s="17"/>
      <c r="K177"/>
      <c r="L177"/>
    </row>
    <row r="178" spans="1:12" s="7" customFormat="1" x14ac:dyDescent="0.25">
      <c r="A178" s="16" t="s">
        <v>2</v>
      </c>
      <c r="B178" s="16" t="s">
        <v>2</v>
      </c>
      <c r="C178" s="16" t="s">
        <v>2</v>
      </c>
      <c r="D178" s="16" t="s">
        <v>2</v>
      </c>
      <c r="E178" s="16"/>
      <c r="F178" s="16" t="s">
        <v>2</v>
      </c>
      <c r="G178" s="16" t="s">
        <v>2</v>
      </c>
      <c r="H178" s="17"/>
      <c r="K178"/>
      <c r="L178"/>
    </row>
    <row r="179" spans="1:12" s="7" customFormat="1" x14ac:dyDescent="0.25">
      <c r="A179" s="16" t="s">
        <v>2317</v>
      </c>
      <c r="B179" s="16" t="s">
        <v>2</v>
      </c>
      <c r="C179" s="17"/>
      <c r="D179" s="17"/>
      <c r="E179" s="17"/>
      <c r="F179" s="17"/>
      <c r="G179" s="17"/>
      <c r="H179" s="17"/>
      <c r="K179"/>
      <c r="L179"/>
    </row>
    <row r="180" spans="1:12" s="7" customFormat="1" x14ac:dyDescent="0.25">
      <c r="A180" s="18" t="s">
        <v>2318</v>
      </c>
      <c r="B180" s="18" t="s">
        <v>2319</v>
      </c>
      <c r="C180" s="19">
        <v>290.64</v>
      </c>
      <c r="D180" s="19">
        <v>98.24</v>
      </c>
      <c r="E180" s="19">
        <v>171.92</v>
      </c>
      <c r="F180" s="19">
        <v>200</v>
      </c>
      <c r="G180" s="19">
        <v>200</v>
      </c>
      <c r="H180" s="17"/>
      <c r="K180"/>
      <c r="L180"/>
    </row>
    <row r="181" spans="1:12" s="7" customFormat="1" x14ac:dyDescent="0.25">
      <c r="A181" s="18" t="s">
        <v>2320</v>
      </c>
      <c r="B181" s="18" t="s">
        <v>2321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  <c r="H181" s="17"/>
      <c r="K181"/>
      <c r="L181"/>
    </row>
    <row r="182" spans="1:12" s="7" customFormat="1" x14ac:dyDescent="0.25">
      <c r="A182" s="18" t="s">
        <v>2322</v>
      </c>
      <c r="B182" s="18" t="s">
        <v>2323</v>
      </c>
      <c r="C182" s="19">
        <v>50.65</v>
      </c>
      <c r="D182" s="19">
        <v>0</v>
      </c>
      <c r="E182" s="19">
        <v>0</v>
      </c>
      <c r="F182" s="19">
        <v>0</v>
      </c>
      <c r="G182" s="19">
        <v>0</v>
      </c>
      <c r="H182" s="17"/>
      <c r="K182"/>
      <c r="L182"/>
    </row>
    <row r="183" spans="1:12" s="7" customFormat="1" x14ac:dyDescent="0.25">
      <c r="A183" s="18" t="s">
        <v>2324</v>
      </c>
      <c r="B183" s="18" t="s">
        <v>2325</v>
      </c>
      <c r="C183" s="19">
        <v>8420.3799999999992</v>
      </c>
      <c r="D183" s="19">
        <v>1352.2</v>
      </c>
      <c r="E183" s="19">
        <v>2747.82</v>
      </c>
      <c r="F183" s="19">
        <v>4000</v>
      </c>
      <c r="G183" s="19">
        <v>3000</v>
      </c>
      <c r="H183" s="17"/>
      <c r="K183"/>
      <c r="L183"/>
    </row>
    <row r="184" spans="1:12" s="7" customFormat="1" x14ac:dyDescent="0.25">
      <c r="A184" s="18" t="s">
        <v>2326</v>
      </c>
      <c r="B184" s="18" t="s">
        <v>2327</v>
      </c>
      <c r="C184" s="19">
        <v>2753.02</v>
      </c>
      <c r="D184" s="19">
        <v>690.22</v>
      </c>
      <c r="E184" s="19">
        <v>1193.68</v>
      </c>
      <c r="F184" s="19">
        <v>3000</v>
      </c>
      <c r="G184" s="19">
        <v>3000</v>
      </c>
      <c r="H184" s="17"/>
      <c r="K184"/>
      <c r="L184"/>
    </row>
    <row r="185" spans="1:12" s="7" customFormat="1" x14ac:dyDescent="0.25">
      <c r="A185" s="18" t="s">
        <v>2328</v>
      </c>
      <c r="B185" s="18" t="s">
        <v>2329</v>
      </c>
      <c r="C185" s="19">
        <v>46793.77</v>
      </c>
      <c r="D185" s="19">
        <v>10670.51</v>
      </c>
      <c r="E185" s="19">
        <v>18090.099999999999</v>
      </c>
      <c r="F185" s="19">
        <v>30000</v>
      </c>
      <c r="G185" s="19">
        <v>25000</v>
      </c>
      <c r="H185" s="17"/>
      <c r="K185"/>
      <c r="L185"/>
    </row>
    <row r="186" spans="1:12" s="7" customFormat="1" x14ac:dyDescent="0.25">
      <c r="A186" s="18" t="s">
        <v>2330</v>
      </c>
      <c r="B186" s="18" t="s">
        <v>2331</v>
      </c>
      <c r="C186" s="19">
        <v>8.01</v>
      </c>
      <c r="D186" s="19">
        <v>0</v>
      </c>
      <c r="E186" s="19">
        <v>0</v>
      </c>
      <c r="F186" s="19">
        <v>0</v>
      </c>
      <c r="G186" s="19">
        <v>0</v>
      </c>
      <c r="H186" s="17"/>
      <c r="K186"/>
      <c r="L186"/>
    </row>
    <row r="187" spans="1:12" s="7" customFormat="1" x14ac:dyDescent="0.25">
      <c r="A187" s="18" t="s">
        <v>2332</v>
      </c>
      <c r="B187" s="18" t="s">
        <v>2333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  <c r="H187" s="17"/>
      <c r="K187"/>
      <c r="L187"/>
    </row>
    <row r="188" spans="1:12" s="7" customFormat="1" x14ac:dyDescent="0.25">
      <c r="A188" s="18" t="s">
        <v>2334</v>
      </c>
      <c r="B188" s="18" t="s">
        <v>2335</v>
      </c>
      <c r="C188" s="19">
        <v>0</v>
      </c>
      <c r="D188" s="19">
        <v>0</v>
      </c>
      <c r="E188" s="19">
        <v>0</v>
      </c>
      <c r="F188" s="19">
        <v>0</v>
      </c>
      <c r="G188" s="19">
        <v>0</v>
      </c>
      <c r="H188" s="17"/>
      <c r="K188"/>
      <c r="L188"/>
    </row>
    <row r="189" spans="1:12" s="7" customFormat="1" x14ac:dyDescent="0.25">
      <c r="A189" s="18" t="s">
        <v>2336</v>
      </c>
      <c r="B189" s="18" t="s">
        <v>2337</v>
      </c>
      <c r="C189" s="19">
        <v>4306.88</v>
      </c>
      <c r="D189" s="19">
        <v>2003</v>
      </c>
      <c r="E189" s="19">
        <v>3564</v>
      </c>
      <c r="F189" s="19">
        <v>3000</v>
      </c>
      <c r="G189" s="19">
        <v>4000</v>
      </c>
      <c r="H189" s="17"/>
      <c r="K189"/>
      <c r="L189"/>
    </row>
    <row r="190" spans="1:12" s="7" customFormat="1" x14ac:dyDescent="0.25">
      <c r="A190" s="18" t="s">
        <v>2338</v>
      </c>
      <c r="B190" s="18" t="s">
        <v>2339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  <c r="H190" s="17"/>
      <c r="K190"/>
      <c r="L190"/>
    </row>
    <row r="191" spans="1:12" s="7" customFormat="1" x14ac:dyDescent="0.25">
      <c r="A191" s="18" t="s">
        <v>2340</v>
      </c>
      <c r="B191" s="18" t="s">
        <v>2339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  <c r="H191" s="17"/>
      <c r="K191"/>
      <c r="L191"/>
    </row>
    <row r="192" spans="1:12" s="7" customFormat="1" x14ac:dyDescent="0.25">
      <c r="A192" s="18" t="s">
        <v>2341</v>
      </c>
      <c r="B192" s="18" t="s">
        <v>2342</v>
      </c>
      <c r="C192" s="19">
        <v>106.89</v>
      </c>
      <c r="D192" s="19">
        <v>0</v>
      </c>
      <c r="E192" s="19">
        <v>1.65</v>
      </c>
      <c r="F192" s="19">
        <v>0</v>
      </c>
      <c r="G192" s="19">
        <v>0</v>
      </c>
      <c r="H192" s="17"/>
      <c r="K192"/>
      <c r="L192"/>
    </row>
    <row r="193" spans="1:12" s="7" customFormat="1" x14ac:dyDescent="0.25">
      <c r="A193" s="18" t="s">
        <v>2343</v>
      </c>
      <c r="B193" s="18" t="s">
        <v>2344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  <c r="H193" s="17"/>
      <c r="K193"/>
      <c r="L193"/>
    </row>
    <row r="194" spans="1:12" s="7" customFormat="1" x14ac:dyDescent="0.25">
      <c r="A194" s="18" t="s">
        <v>2345</v>
      </c>
      <c r="B194" s="18" t="s">
        <v>2346</v>
      </c>
      <c r="C194" s="19">
        <v>250.02</v>
      </c>
      <c r="D194" s="19">
        <v>250.02</v>
      </c>
      <c r="E194" s="19">
        <v>250.02</v>
      </c>
      <c r="F194" s="19">
        <v>100</v>
      </c>
      <c r="G194" s="19">
        <v>250</v>
      </c>
      <c r="H194" s="17"/>
      <c r="K194"/>
      <c r="L194"/>
    </row>
    <row r="195" spans="1:12" s="7" customFormat="1" x14ac:dyDescent="0.25">
      <c r="A195" s="18" t="s">
        <v>2347</v>
      </c>
      <c r="B195" s="18" t="s">
        <v>2348</v>
      </c>
      <c r="C195" s="19">
        <v>1554.65</v>
      </c>
      <c r="D195" s="19">
        <v>992.1</v>
      </c>
      <c r="E195" s="19">
        <v>1925.83</v>
      </c>
      <c r="F195" s="19">
        <v>1000</v>
      </c>
      <c r="G195" s="19">
        <v>2000</v>
      </c>
      <c r="H195" s="17"/>
      <c r="K195"/>
      <c r="L195"/>
    </row>
    <row r="196" spans="1:12" s="7" customFormat="1" x14ac:dyDescent="0.25">
      <c r="A196" s="18" t="s">
        <v>2349</v>
      </c>
      <c r="B196" s="18" t="s">
        <v>2350</v>
      </c>
      <c r="C196" s="19">
        <v>108.38</v>
      </c>
      <c r="D196" s="19">
        <v>93.52</v>
      </c>
      <c r="E196" s="19">
        <v>166.99</v>
      </c>
      <c r="F196" s="19">
        <v>0</v>
      </c>
      <c r="G196" s="19">
        <v>200</v>
      </c>
      <c r="H196" s="17"/>
      <c r="K196"/>
      <c r="L196"/>
    </row>
    <row r="197" spans="1:12" s="7" customFormat="1" x14ac:dyDescent="0.25">
      <c r="A197" s="18" t="s">
        <v>2351</v>
      </c>
      <c r="B197" s="18" t="s">
        <v>2352</v>
      </c>
      <c r="C197" s="19">
        <v>182.35</v>
      </c>
      <c r="D197" s="19">
        <v>144.24</v>
      </c>
      <c r="E197" s="19">
        <v>204.55</v>
      </c>
      <c r="F197" s="19">
        <v>0</v>
      </c>
      <c r="G197" s="19">
        <v>200</v>
      </c>
      <c r="H197" s="17"/>
      <c r="K197"/>
      <c r="L197"/>
    </row>
    <row r="198" spans="1:12" s="7" customFormat="1" x14ac:dyDescent="0.25">
      <c r="A198" s="18" t="s">
        <v>2353</v>
      </c>
      <c r="B198" s="18" t="s">
        <v>2354</v>
      </c>
      <c r="C198" s="19">
        <v>31272.7</v>
      </c>
      <c r="D198" s="19">
        <v>11687.81</v>
      </c>
      <c r="E198" s="19">
        <v>19748.330000000002</v>
      </c>
      <c r="F198" s="19">
        <v>18000</v>
      </c>
      <c r="G198" s="19">
        <v>20000</v>
      </c>
      <c r="H198" s="17"/>
      <c r="K198"/>
      <c r="L198"/>
    </row>
    <row r="199" spans="1:12" s="7" customFormat="1" x14ac:dyDescent="0.25">
      <c r="A199" s="18" t="s">
        <v>2355</v>
      </c>
      <c r="B199" s="18" t="s">
        <v>2356</v>
      </c>
      <c r="C199" s="19">
        <v>1710.26</v>
      </c>
      <c r="D199" s="19">
        <v>532.48</v>
      </c>
      <c r="E199" s="19">
        <v>883.92</v>
      </c>
      <c r="F199" s="19">
        <v>1000</v>
      </c>
      <c r="G199" s="19">
        <v>1000</v>
      </c>
      <c r="H199" s="17"/>
      <c r="K199"/>
      <c r="L199"/>
    </row>
    <row r="200" spans="1:12" s="7" customFormat="1" x14ac:dyDescent="0.25">
      <c r="A200" s="18" t="s">
        <v>2357</v>
      </c>
      <c r="B200" s="18" t="s">
        <v>2358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  <c r="H200" s="17"/>
      <c r="K200"/>
      <c r="L200"/>
    </row>
    <row r="201" spans="1:12" s="7" customFormat="1" x14ac:dyDescent="0.25">
      <c r="A201" s="18" t="s">
        <v>2359</v>
      </c>
      <c r="B201" s="18" t="s">
        <v>2360</v>
      </c>
      <c r="C201" s="19">
        <v>8126.97</v>
      </c>
      <c r="D201" s="19">
        <v>2246.91</v>
      </c>
      <c r="E201" s="19">
        <v>4206.43</v>
      </c>
      <c r="F201" s="19">
        <v>7000</v>
      </c>
      <c r="G201" s="19">
        <v>6000</v>
      </c>
      <c r="H201" s="17"/>
      <c r="K201"/>
      <c r="L201"/>
    </row>
    <row r="202" spans="1:12" s="7" customFormat="1" x14ac:dyDescent="0.25">
      <c r="A202" s="18" t="s">
        <v>2361</v>
      </c>
      <c r="B202" s="18" t="s">
        <v>2362</v>
      </c>
      <c r="C202" s="19">
        <v>365.29</v>
      </c>
      <c r="D202" s="19">
        <v>74</v>
      </c>
      <c r="E202" s="19">
        <v>108.17</v>
      </c>
      <c r="F202" s="19">
        <v>200</v>
      </c>
      <c r="G202" s="19">
        <v>200</v>
      </c>
      <c r="H202" s="17"/>
      <c r="K202"/>
      <c r="L202"/>
    </row>
    <row r="203" spans="1:12" s="7" customFormat="1" x14ac:dyDescent="0.25">
      <c r="A203" s="18" t="s">
        <v>2363</v>
      </c>
      <c r="B203" s="18" t="s">
        <v>2364</v>
      </c>
      <c r="C203" s="19">
        <v>268.13</v>
      </c>
      <c r="D203" s="19">
        <v>112.23</v>
      </c>
      <c r="E203" s="19">
        <v>233.26</v>
      </c>
      <c r="F203" s="19">
        <v>100</v>
      </c>
      <c r="G203" s="19">
        <v>100</v>
      </c>
      <c r="H203" s="17"/>
      <c r="K203"/>
      <c r="L203"/>
    </row>
    <row r="204" spans="1:12" s="7" customFormat="1" x14ac:dyDescent="0.25">
      <c r="A204" s="18" t="s">
        <v>2365</v>
      </c>
      <c r="B204" s="18" t="s">
        <v>2366</v>
      </c>
      <c r="C204" s="19">
        <v>0</v>
      </c>
      <c r="D204" s="19">
        <v>0</v>
      </c>
      <c r="E204" s="19">
        <v>0</v>
      </c>
      <c r="F204" s="19">
        <v>0</v>
      </c>
      <c r="G204" s="19">
        <v>0</v>
      </c>
      <c r="H204" s="17"/>
      <c r="K204"/>
      <c r="L204"/>
    </row>
    <row r="205" spans="1:12" s="7" customFormat="1" x14ac:dyDescent="0.25">
      <c r="A205" s="18" t="s">
        <v>2367</v>
      </c>
      <c r="B205" s="18" t="s">
        <v>2368</v>
      </c>
      <c r="C205" s="19">
        <v>12.36</v>
      </c>
      <c r="D205" s="19">
        <v>0</v>
      </c>
      <c r="E205" s="19">
        <v>0</v>
      </c>
      <c r="F205" s="19">
        <v>0</v>
      </c>
      <c r="G205" s="19">
        <v>0</v>
      </c>
      <c r="H205" s="17"/>
      <c r="K205"/>
      <c r="L205"/>
    </row>
    <row r="206" spans="1:12" s="7" customFormat="1" x14ac:dyDescent="0.25">
      <c r="A206" s="18" t="s">
        <v>2369</v>
      </c>
      <c r="B206" s="18" t="s">
        <v>2370</v>
      </c>
      <c r="C206" s="19">
        <v>9895.59</v>
      </c>
      <c r="D206" s="19">
        <v>3326.22</v>
      </c>
      <c r="E206" s="19">
        <v>5824.78</v>
      </c>
      <c r="F206" s="19">
        <v>6000</v>
      </c>
      <c r="G206" s="19">
        <v>6000</v>
      </c>
      <c r="H206" s="17"/>
      <c r="K206"/>
      <c r="L206"/>
    </row>
    <row r="207" spans="1:12" s="7" customFormat="1" x14ac:dyDescent="0.25">
      <c r="A207" s="18" t="s">
        <v>2371</v>
      </c>
      <c r="B207" s="18" t="s">
        <v>2372</v>
      </c>
      <c r="C207" s="19">
        <v>0</v>
      </c>
      <c r="D207" s="19">
        <v>0</v>
      </c>
      <c r="E207" s="19">
        <v>0</v>
      </c>
      <c r="F207" s="19">
        <v>0</v>
      </c>
      <c r="G207" s="19">
        <v>0</v>
      </c>
      <c r="H207" s="17"/>
      <c r="K207"/>
      <c r="L207"/>
    </row>
    <row r="208" spans="1:12" s="7" customFormat="1" x14ac:dyDescent="0.25">
      <c r="A208" s="18" t="s">
        <v>2373</v>
      </c>
      <c r="B208" s="18" t="s">
        <v>2374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  <c r="H208" s="17"/>
      <c r="K208"/>
      <c r="L208"/>
    </row>
    <row r="209" spans="1:12" s="7" customFormat="1" x14ac:dyDescent="0.25">
      <c r="A209" s="18" t="s">
        <v>2375</v>
      </c>
      <c r="B209" s="18" t="s">
        <v>2376</v>
      </c>
      <c r="C209" s="19">
        <v>129.6</v>
      </c>
      <c r="D209" s="19">
        <v>-55.27</v>
      </c>
      <c r="E209" s="19">
        <v>-106.3</v>
      </c>
      <c r="F209" s="19">
        <v>0</v>
      </c>
      <c r="G209" s="19">
        <v>0</v>
      </c>
      <c r="H209" s="17"/>
      <c r="K209"/>
      <c r="L209"/>
    </row>
    <row r="210" spans="1:12" s="7" customFormat="1" x14ac:dyDescent="0.25">
      <c r="A210" s="18" t="s">
        <v>2377</v>
      </c>
      <c r="B210" s="18" t="s">
        <v>2378</v>
      </c>
      <c r="C210" s="19">
        <v>131.53</v>
      </c>
      <c r="D210" s="19">
        <v>35.43</v>
      </c>
      <c r="E210" s="19">
        <v>54.22</v>
      </c>
      <c r="F210" s="19">
        <v>0</v>
      </c>
      <c r="G210" s="19">
        <v>0</v>
      </c>
      <c r="H210" s="17"/>
      <c r="K210"/>
      <c r="L210"/>
    </row>
    <row r="211" spans="1:12" s="7" customFormat="1" x14ac:dyDescent="0.25">
      <c r="A211" s="18" t="s">
        <v>2379</v>
      </c>
      <c r="B211" s="18" t="s">
        <v>2380</v>
      </c>
      <c r="C211" s="19">
        <v>278.8</v>
      </c>
      <c r="D211" s="19">
        <v>48.68</v>
      </c>
      <c r="E211" s="19">
        <v>104.5</v>
      </c>
      <c r="F211" s="19">
        <v>0</v>
      </c>
      <c r="G211" s="19">
        <v>0</v>
      </c>
      <c r="H211" s="17"/>
      <c r="K211"/>
      <c r="L211"/>
    </row>
    <row r="212" spans="1:12" s="7" customFormat="1" x14ac:dyDescent="0.25">
      <c r="A212" s="18" t="s">
        <v>2381</v>
      </c>
      <c r="B212" s="18" t="s">
        <v>2382</v>
      </c>
      <c r="C212" s="19">
        <v>804</v>
      </c>
      <c r="D212" s="19">
        <v>136.80000000000001</v>
      </c>
      <c r="E212" s="19">
        <v>244.35</v>
      </c>
      <c r="F212" s="19">
        <v>0</v>
      </c>
      <c r="G212" s="19">
        <v>0</v>
      </c>
      <c r="H212" s="17"/>
      <c r="K212"/>
      <c r="L212"/>
    </row>
    <row r="213" spans="1:12" s="7" customFormat="1" x14ac:dyDescent="0.25">
      <c r="A213" s="18" t="s">
        <v>2383</v>
      </c>
      <c r="B213" s="18" t="s">
        <v>2384</v>
      </c>
      <c r="C213" s="19">
        <v>0</v>
      </c>
      <c r="D213" s="19">
        <v>0</v>
      </c>
      <c r="E213" s="19">
        <v>0</v>
      </c>
      <c r="F213" s="19">
        <v>0</v>
      </c>
      <c r="G213" s="19">
        <v>0</v>
      </c>
      <c r="H213" s="17"/>
      <c r="K213"/>
      <c r="L213"/>
    </row>
    <row r="214" spans="1:12" s="7" customFormat="1" x14ac:dyDescent="0.25">
      <c r="A214" s="18" t="s">
        <v>2385</v>
      </c>
      <c r="B214" s="18" t="s">
        <v>2386</v>
      </c>
      <c r="C214" s="19">
        <v>12.16</v>
      </c>
      <c r="D214" s="19">
        <v>0</v>
      </c>
      <c r="E214" s="19">
        <v>10.68</v>
      </c>
      <c r="F214" s="19">
        <v>0</v>
      </c>
      <c r="G214" s="19">
        <v>0</v>
      </c>
      <c r="H214" s="17"/>
      <c r="K214"/>
      <c r="L214"/>
    </row>
    <row r="215" spans="1:12" s="7" customFormat="1" x14ac:dyDescent="0.25">
      <c r="A215" s="18" t="s">
        <v>2387</v>
      </c>
      <c r="B215" s="18" t="s">
        <v>2388</v>
      </c>
      <c r="C215" s="19">
        <v>663.39</v>
      </c>
      <c r="D215" s="19">
        <v>235.07</v>
      </c>
      <c r="E215" s="19">
        <v>260.01</v>
      </c>
      <c r="F215" s="19">
        <v>0</v>
      </c>
      <c r="G215" s="19">
        <v>0</v>
      </c>
      <c r="H215" s="17"/>
      <c r="K215"/>
      <c r="L215"/>
    </row>
    <row r="216" spans="1:12" s="7" customFormat="1" x14ac:dyDescent="0.25">
      <c r="A216" s="18" t="s">
        <v>2389</v>
      </c>
      <c r="B216" s="18" t="s">
        <v>2390</v>
      </c>
      <c r="C216" s="19">
        <v>0</v>
      </c>
      <c r="D216" s="19">
        <v>123.61</v>
      </c>
      <c r="E216" s="19">
        <v>123.61</v>
      </c>
      <c r="F216" s="19">
        <v>0</v>
      </c>
      <c r="G216" s="19">
        <v>0</v>
      </c>
      <c r="H216" s="17"/>
      <c r="K216"/>
      <c r="L216"/>
    </row>
    <row r="217" spans="1:12" s="7" customFormat="1" x14ac:dyDescent="0.25">
      <c r="A217" s="18" t="s">
        <v>2391</v>
      </c>
      <c r="B217" s="18" t="s">
        <v>2392</v>
      </c>
      <c r="C217" s="19">
        <v>0</v>
      </c>
      <c r="D217" s="19">
        <v>0</v>
      </c>
      <c r="E217" s="19">
        <v>0</v>
      </c>
      <c r="F217" s="19">
        <v>0</v>
      </c>
      <c r="G217" s="19">
        <v>0</v>
      </c>
      <c r="H217" s="17"/>
      <c r="K217"/>
      <c r="L217"/>
    </row>
    <row r="218" spans="1:12" s="7" customFormat="1" x14ac:dyDescent="0.25">
      <c r="A218" s="18" t="s">
        <v>2393</v>
      </c>
      <c r="B218" s="18" t="s">
        <v>2394</v>
      </c>
      <c r="C218" s="19">
        <v>59.61</v>
      </c>
      <c r="D218" s="19">
        <v>0</v>
      </c>
      <c r="E218" s="19">
        <v>0</v>
      </c>
      <c r="F218" s="19">
        <v>0</v>
      </c>
      <c r="G218" s="19">
        <v>0</v>
      </c>
      <c r="H218" s="17"/>
      <c r="K218"/>
      <c r="L218"/>
    </row>
    <row r="219" spans="1:12" s="7" customFormat="1" x14ac:dyDescent="0.25">
      <c r="A219" s="18" t="s">
        <v>2395</v>
      </c>
      <c r="B219" s="18" t="s">
        <v>2396</v>
      </c>
      <c r="C219" s="19">
        <v>248</v>
      </c>
      <c r="D219" s="19">
        <v>640</v>
      </c>
      <c r="E219" s="19">
        <v>640</v>
      </c>
      <c r="F219" s="19">
        <v>0</v>
      </c>
      <c r="G219" s="19">
        <v>0</v>
      </c>
      <c r="H219" s="17"/>
      <c r="K219"/>
      <c r="L219"/>
    </row>
    <row r="220" spans="1:12" s="7" customFormat="1" x14ac:dyDescent="0.25">
      <c r="A220" s="18" t="s">
        <v>2397</v>
      </c>
      <c r="B220" s="18" t="s">
        <v>2398</v>
      </c>
      <c r="C220" s="19">
        <v>1151.8900000000001</v>
      </c>
      <c r="D220" s="19">
        <v>68.84</v>
      </c>
      <c r="E220" s="19">
        <v>68.84</v>
      </c>
      <c r="F220" s="19">
        <v>0</v>
      </c>
      <c r="G220" s="19">
        <v>0</v>
      </c>
      <c r="H220" s="17"/>
      <c r="K220"/>
      <c r="L220"/>
    </row>
    <row r="221" spans="1:12" s="7" customFormat="1" x14ac:dyDescent="0.25">
      <c r="A221" s="23" t="s">
        <v>2545</v>
      </c>
      <c r="B221" s="16" t="s">
        <v>2</v>
      </c>
      <c r="C221" s="20">
        <v>119955.92</v>
      </c>
      <c r="D221" s="20">
        <v>35506.86</v>
      </c>
      <c r="E221" s="20">
        <f>SUM(E180:E220)</f>
        <v>60721.359999999993</v>
      </c>
      <c r="F221" s="20">
        <f>SUM(F180:F220)</f>
        <v>73600</v>
      </c>
      <c r="G221" s="20">
        <f>SUM(G180:G220)</f>
        <v>71150</v>
      </c>
      <c r="H221" s="17"/>
      <c r="K221"/>
      <c r="L221"/>
    </row>
    <row r="222" spans="1:12" s="7" customFormat="1" x14ac:dyDescent="0.25">
      <c r="A222" s="16" t="s">
        <v>2</v>
      </c>
      <c r="B222" s="16" t="s">
        <v>2</v>
      </c>
      <c r="C222" s="16" t="s">
        <v>2</v>
      </c>
      <c r="D222" s="16" t="s">
        <v>2</v>
      </c>
      <c r="E222" s="16"/>
      <c r="F222" s="16" t="s">
        <v>2</v>
      </c>
      <c r="G222" s="16" t="s">
        <v>2</v>
      </c>
      <c r="H222" s="17"/>
      <c r="K222"/>
      <c r="L222"/>
    </row>
    <row r="223" spans="1:12" s="7" customFormat="1" x14ac:dyDescent="0.25">
      <c r="A223" s="16" t="s">
        <v>2399</v>
      </c>
      <c r="B223" s="16" t="s">
        <v>2</v>
      </c>
      <c r="C223" s="17"/>
      <c r="D223" s="17"/>
      <c r="E223" s="17"/>
      <c r="F223" s="17"/>
      <c r="G223" s="17"/>
      <c r="H223" s="17"/>
      <c r="K223"/>
      <c r="L223"/>
    </row>
    <row r="224" spans="1:12" s="7" customFormat="1" x14ac:dyDescent="0.25">
      <c r="A224" s="18" t="s">
        <v>2400</v>
      </c>
      <c r="B224" s="18" t="s">
        <v>2401</v>
      </c>
      <c r="C224" s="19">
        <v>7859.7</v>
      </c>
      <c r="D224" s="19">
        <v>3998.81</v>
      </c>
      <c r="E224" s="19">
        <v>5961.22</v>
      </c>
      <c r="F224" s="19">
        <v>8500</v>
      </c>
      <c r="G224" s="19">
        <v>6000</v>
      </c>
      <c r="H224" s="17"/>
      <c r="K224"/>
      <c r="L224"/>
    </row>
    <row r="225" spans="1:12" s="7" customFormat="1" x14ac:dyDescent="0.25">
      <c r="A225" s="18" t="s">
        <v>2402</v>
      </c>
      <c r="B225" s="18" t="s">
        <v>2403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  <c r="H225" s="17"/>
      <c r="K225"/>
      <c r="L225"/>
    </row>
    <row r="226" spans="1:12" s="7" customFormat="1" x14ac:dyDescent="0.25">
      <c r="A226" s="18" t="s">
        <v>2404</v>
      </c>
      <c r="B226" s="18" t="s">
        <v>2405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  <c r="H226" s="17"/>
      <c r="K226"/>
      <c r="L226"/>
    </row>
    <row r="227" spans="1:12" s="7" customFormat="1" x14ac:dyDescent="0.25">
      <c r="A227" s="18" t="s">
        <v>2406</v>
      </c>
      <c r="B227" s="18" t="s">
        <v>2407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  <c r="H227" s="17"/>
      <c r="K227"/>
      <c r="L227"/>
    </row>
    <row r="228" spans="1:12" s="7" customFormat="1" x14ac:dyDescent="0.25">
      <c r="A228" s="18" t="s">
        <v>2408</v>
      </c>
      <c r="B228" s="18" t="s">
        <v>2409</v>
      </c>
      <c r="C228" s="19">
        <v>3498.35</v>
      </c>
      <c r="D228" s="19">
        <v>2823.01</v>
      </c>
      <c r="E228" s="19">
        <v>10425.959999999999</v>
      </c>
      <c r="F228" s="19">
        <v>2000</v>
      </c>
      <c r="G228" s="19">
        <v>10000</v>
      </c>
      <c r="H228" s="17"/>
      <c r="K228"/>
      <c r="L228"/>
    </row>
    <row r="229" spans="1:12" s="7" customFormat="1" x14ac:dyDescent="0.25">
      <c r="A229" s="18" t="s">
        <v>2410</v>
      </c>
      <c r="B229" s="18" t="s">
        <v>2411</v>
      </c>
      <c r="C229" s="19">
        <v>25</v>
      </c>
      <c r="D229" s="19">
        <v>0</v>
      </c>
      <c r="E229" s="19">
        <v>0</v>
      </c>
      <c r="F229" s="19">
        <v>0</v>
      </c>
      <c r="G229" s="19">
        <v>0</v>
      </c>
      <c r="H229" s="17"/>
      <c r="K229"/>
      <c r="L229"/>
    </row>
    <row r="230" spans="1:12" s="7" customFormat="1" x14ac:dyDescent="0.25">
      <c r="A230" s="18" t="s">
        <v>2412</v>
      </c>
      <c r="B230" s="18" t="s">
        <v>2413</v>
      </c>
      <c r="C230" s="19">
        <v>6847.18</v>
      </c>
      <c r="D230" s="19">
        <v>1759.97</v>
      </c>
      <c r="E230" s="19">
        <v>3260.19</v>
      </c>
      <c r="F230" s="19">
        <v>7000</v>
      </c>
      <c r="G230" s="19">
        <v>5000</v>
      </c>
      <c r="H230" s="17"/>
      <c r="K230"/>
      <c r="L230"/>
    </row>
    <row r="231" spans="1:12" s="7" customFormat="1" x14ac:dyDescent="0.25">
      <c r="A231" s="18" t="s">
        <v>2414</v>
      </c>
      <c r="B231" s="18" t="s">
        <v>2413</v>
      </c>
      <c r="C231" s="19">
        <v>6847.18</v>
      </c>
      <c r="D231" s="19">
        <v>1759.97</v>
      </c>
      <c r="E231" s="19">
        <v>3260.19</v>
      </c>
      <c r="F231" s="19">
        <v>7000</v>
      </c>
      <c r="G231" s="19">
        <v>5000</v>
      </c>
      <c r="H231" s="17"/>
      <c r="K231"/>
      <c r="L231"/>
    </row>
    <row r="232" spans="1:12" s="7" customFormat="1" x14ac:dyDescent="0.25">
      <c r="A232" s="18" t="s">
        <v>2415</v>
      </c>
      <c r="B232" s="18" t="s">
        <v>2416</v>
      </c>
      <c r="C232" s="19">
        <v>6141.96</v>
      </c>
      <c r="D232" s="19">
        <v>3070.98</v>
      </c>
      <c r="E232" s="19">
        <v>3582.81</v>
      </c>
      <c r="F232" s="19">
        <v>6142</v>
      </c>
      <c r="G232" s="19">
        <v>5000</v>
      </c>
      <c r="H232" s="17"/>
      <c r="K232"/>
      <c r="L232"/>
    </row>
    <row r="233" spans="1:12" s="7" customFormat="1" x14ac:dyDescent="0.25">
      <c r="A233" s="18" t="s">
        <v>2417</v>
      </c>
      <c r="B233" s="18" t="s">
        <v>2418</v>
      </c>
      <c r="C233" s="19">
        <v>29</v>
      </c>
      <c r="D233" s="19">
        <v>12</v>
      </c>
      <c r="E233" s="19">
        <v>12</v>
      </c>
      <c r="F233" s="19">
        <v>0</v>
      </c>
      <c r="G233" s="19">
        <v>0</v>
      </c>
      <c r="H233" s="17"/>
      <c r="K233"/>
      <c r="L233"/>
    </row>
    <row r="234" spans="1:12" s="7" customFormat="1" x14ac:dyDescent="0.25">
      <c r="A234" s="18" t="s">
        <v>2419</v>
      </c>
      <c r="B234" s="18" t="s">
        <v>2420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7"/>
      <c r="K234"/>
      <c r="L234"/>
    </row>
    <row r="235" spans="1:12" s="7" customFormat="1" x14ac:dyDescent="0.25">
      <c r="A235" s="18" t="s">
        <v>2421</v>
      </c>
      <c r="B235" s="18" t="s">
        <v>2422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7"/>
      <c r="K235"/>
      <c r="L235"/>
    </row>
    <row r="236" spans="1:12" s="7" customFormat="1" x14ac:dyDescent="0.25">
      <c r="A236" s="18" t="s">
        <v>2423</v>
      </c>
      <c r="B236" s="18" t="s">
        <v>2424</v>
      </c>
      <c r="C236" s="19">
        <v>6100</v>
      </c>
      <c r="D236" s="19">
        <v>0</v>
      </c>
      <c r="E236" s="19">
        <v>0</v>
      </c>
      <c r="F236" s="19">
        <v>0</v>
      </c>
      <c r="G236" s="19">
        <v>0</v>
      </c>
      <c r="H236" s="17"/>
      <c r="K236"/>
      <c r="L236"/>
    </row>
    <row r="237" spans="1:12" s="7" customFormat="1" x14ac:dyDescent="0.25">
      <c r="A237" s="18" t="s">
        <v>2425</v>
      </c>
      <c r="B237" s="18" t="s">
        <v>2426</v>
      </c>
      <c r="C237" s="19">
        <v>6158.38</v>
      </c>
      <c r="D237" s="19">
        <v>0</v>
      </c>
      <c r="E237" s="19">
        <v>6000</v>
      </c>
      <c r="F237" s="19">
        <v>4000</v>
      </c>
      <c r="G237" s="19">
        <v>5000</v>
      </c>
      <c r="H237" s="17"/>
      <c r="K237"/>
      <c r="L237"/>
    </row>
    <row r="238" spans="1:12" s="7" customFormat="1" x14ac:dyDescent="0.25">
      <c r="A238" s="18" t="s">
        <v>2427</v>
      </c>
      <c r="B238" s="18" t="s">
        <v>2428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  <c r="H238" s="17"/>
      <c r="K238"/>
      <c r="L238"/>
    </row>
    <row r="239" spans="1:12" s="7" customFormat="1" x14ac:dyDescent="0.25">
      <c r="A239" s="18" t="s">
        <v>2429</v>
      </c>
      <c r="B239" s="18" t="s">
        <v>2430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7"/>
      <c r="K239"/>
      <c r="L239"/>
    </row>
    <row r="240" spans="1:12" s="7" customFormat="1" x14ac:dyDescent="0.25">
      <c r="A240" s="18" t="s">
        <v>2431</v>
      </c>
      <c r="B240" s="18" t="s">
        <v>2432</v>
      </c>
      <c r="C240" s="19">
        <v>0</v>
      </c>
      <c r="D240" s="19">
        <v>0</v>
      </c>
      <c r="E240" s="19">
        <v>0</v>
      </c>
      <c r="F240" s="19">
        <v>1000</v>
      </c>
      <c r="G240" s="19">
        <v>0</v>
      </c>
      <c r="H240" s="17"/>
      <c r="K240"/>
      <c r="L240"/>
    </row>
    <row r="241" spans="1:12" s="7" customFormat="1" x14ac:dyDescent="0.25">
      <c r="A241" s="18" t="s">
        <v>2433</v>
      </c>
      <c r="B241" s="18" t="s">
        <v>2434</v>
      </c>
      <c r="C241" s="19">
        <v>51533.42</v>
      </c>
      <c r="D241" s="19">
        <v>47950.97</v>
      </c>
      <c r="E241" s="19">
        <v>47950.97</v>
      </c>
      <c r="F241" s="19">
        <v>47950.98</v>
      </c>
      <c r="G241" s="19">
        <v>48000</v>
      </c>
      <c r="H241" s="17"/>
      <c r="K241"/>
      <c r="L241"/>
    </row>
    <row r="242" spans="1:12" s="7" customFormat="1" x14ac:dyDescent="0.25">
      <c r="A242" s="18" t="s">
        <v>2435</v>
      </c>
      <c r="B242" s="18" t="s">
        <v>2436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  <c r="H242" s="17"/>
      <c r="K242"/>
      <c r="L242"/>
    </row>
    <row r="243" spans="1:12" s="7" customFormat="1" ht="24" x14ac:dyDescent="0.25">
      <c r="A243" s="18" t="s">
        <v>2437</v>
      </c>
      <c r="B243" s="18" t="s">
        <v>2438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7"/>
      <c r="K243"/>
      <c r="L243"/>
    </row>
    <row r="244" spans="1:12" s="7" customFormat="1" x14ac:dyDescent="0.25">
      <c r="A244" s="18" t="s">
        <v>2439</v>
      </c>
      <c r="B244" s="18" t="s">
        <v>2440</v>
      </c>
      <c r="C244" s="19">
        <v>5</v>
      </c>
      <c r="D244" s="19">
        <v>0</v>
      </c>
      <c r="E244" s="19">
        <v>124</v>
      </c>
      <c r="F244" s="19">
        <v>0</v>
      </c>
      <c r="G244" s="19">
        <v>0</v>
      </c>
      <c r="H244" s="17"/>
      <c r="K244"/>
      <c r="L244"/>
    </row>
    <row r="245" spans="1:12" s="7" customFormat="1" x14ac:dyDescent="0.25">
      <c r="A245" s="18" t="s">
        <v>2441</v>
      </c>
      <c r="B245" s="18" t="s">
        <v>2442</v>
      </c>
      <c r="C245" s="19">
        <v>202</v>
      </c>
      <c r="D245" s="19">
        <v>3312.96</v>
      </c>
      <c r="E245" s="19">
        <v>3312.96</v>
      </c>
      <c r="F245" s="19">
        <v>0</v>
      </c>
      <c r="G245" s="19">
        <v>0</v>
      </c>
      <c r="H245" s="17"/>
      <c r="K245"/>
      <c r="L245"/>
    </row>
    <row r="246" spans="1:12" s="7" customFormat="1" x14ac:dyDescent="0.25">
      <c r="A246" s="18" t="s">
        <v>2443</v>
      </c>
      <c r="B246" s="18" t="s">
        <v>2444</v>
      </c>
      <c r="C246" s="19">
        <v>3764.44</v>
      </c>
      <c r="D246" s="19">
        <v>0</v>
      </c>
      <c r="E246" s="19">
        <v>0</v>
      </c>
      <c r="F246" s="19">
        <v>0</v>
      </c>
      <c r="G246" s="19">
        <v>0</v>
      </c>
      <c r="H246" s="17"/>
      <c r="K246"/>
      <c r="L246"/>
    </row>
    <row r="247" spans="1:12" s="7" customFormat="1" x14ac:dyDescent="0.25">
      <c r="A247" s="18" t="s">
        <v>2445</v>
      </c>
      <c r="B247" s="18" t="s">
        <v>2446</v>
      </c>
      <c r="C247" s="19">
        <v>0</v>
      </c>
      <c r="D247" s="19">
        <v>0</v>
      </c>
      <c r="E247" s="19">
        <v>509.74</v>
      </c>
      <c r="F247" s="19">
        <v>0</v>
      </c>
      <c r="G247" s="19">
        <v>0</v>
      </c>
      <c r="H247" s="17"/>
      <c r="K247"/>
      <c r="L247"/>
    </row>
    <row r="248" spans="1:12" s="7" customFormat="1" x14ac:dyDescent="0.25">
      <c r="A248" s="18" t="s">
        <v>2447</v>
      </c>
      <c r="B248" s="18" t="s">
        <v>2448</v>
      </c>
      <c r="C248" s="19">
        <v>13.24</v>
      </c>
      <c r="D248" s="19">
        <v>0</v>
      </c>
      <c r="E248" s="19">
        <v>0</v>
      </c>
      <c r="F248" s="19">
        <v>0</v>
      </c>
      <c r="G248" s="19">
        <v>0</v>
      </c>
      <c r="H248" s="17"/>
      <c r="K248"/>
      <c r="L248"/>
    </row>
    <row r="249" spans="1:12" s="7" customFormat="1" x14ac:dyDescent="0.25">
      <c r="A249" s="18" t="s">
        <v>2449</v>
      </c>
      <c r="B249" s="18" t="s">
        <v>2450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  <c r="H249" s="17"/>
      <c r="K249"/>
      <c r="L249"/>
    </row>
    <row r="250" spans="1:12" s="7" customFormat="1" x14ac:dyDescent="0.25">
      <c r="A250" s="18" t="s">
        <v>2451</v>
      </c>
      <c r="B250" s="18" t="s">
        <v>2452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  <c r="H250" s="17"/>
      <c r="K250"/>
      <c r="L250"/>
    </row>
    <row r="251" spans="1:12" s="7" customFormat="1" x14ac:dyDescent="0.25">
      <c r="A251" s="18" t="s">
        <v>2453</v>
      </c>
      <c r="B251" s="18" t="s">
        <v>2454</v>
      </c>
      <c r="C251" s="19">
        <v>0.5</v>
      </c>
      <c r="D251" s="19">
        <v>0.95</v>
      </c>
      <c r="E251" s="19">
        <v>2.4700000000000002</v>
      </c>
      <c r="F251" s="19">
        <v>0</v>
      </c>
      <c r="G251" s="19">
        <v>0</v>
      </c>
      <c r="H251" s="17"/>
      <c r="K251"/>
      <c r="L251"/>
    </row>
    <row r="252" spans="1:12" s="7" customFormat="1" x14ac:dyDescent="0.25">
      <c r="A252" s="18" t="s">
        <v>2455</v>
      </c>
      <c r="B252" s="18" t="s">
        <v>2456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  <c r="H252" s="17"/>
      <c r="K252"/>
      <c r="L252"/>
    </row>
    <row r="253" spans="1:12" s="7" customFormat="1" x14ac:dyDescent="0.25">
      <c r="A253" s="18" t="s">
        <v>2457</v>
      </c>
      <c r="B253" s="18" t="s">
        <v>2458</v>
      </c>
      <c r="C253" s="19">
        <v>2411.52</v>
      </c>
      <c r="D253" s="19">
        <v>2426.7600000000002</v>
      </c>
      <c r="E253" s="19">
        <v>10394.14</v>
      </c>
      <c r="F253" s="19">
        <v>0</v>
      </c>
      <c r="G253" s="19">
        <v>0</v>
      </c>
      <c r="H253" s="17"/>
      <c r="K253"/>
      <c r="L253"/>
    </row>
    <row r="254" spans="1:12" s="7" customFormat="1" x14ac:dyDescent="0.25">
      <c r="A254" s="18" t="s">
        <v>2459</v>
      </c>
      <c r="B254" s="18" t="s">
        <v>2460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  <c r="H254" s="17"/>
      <c r="K254"/>
      <c r="L254"/>
    </row>
    <row r="255" spans="1:12" s="7" customFormat="1" x14ac:dyDescent="0.25">
      <c r="A255" s="18" t="s">
        <v>2461</v>
      </c>
      <c r="B255" s="18" t="s">
        <v>2398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  <c r="H255" s="17"/>
      <c r="K255"/>
      <c r="L255"/>
    </row>
    <row r="256" spans="1:12" s="7" customFormat="1" x14ac:dyDescent="0.25">
      <c r="A256" s="18" t="s">
        <v>2462</v>
      </c>
      <c r="B256" s="18" t="s">
        <v>2463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  <c r="H256" s="17"/>
      <c r="K256"/>
      <c r="L256"/>
    </row>
    <row r="257" spans="1:12" s="7" customFormat="1" x14ac:dyDescent="0.25">
      <c r="A257" s="18" t="s">
        <v>2464</v>
      </c>
      <c r="B257" s="18" t="s">
        <v>2465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  <c r="H257" s="17"/>
      <c r="K257"/>
      <c r="L257"/>
    </row>
    <row r="258" spans="1:12" s="7" customFormat="1" ht="24" x14ac:dyDescent="0.25">
      <c r="A258" s="18" t="s">
        <v>2466</v>
      </c>
      <c r="B258" s="18" t="s">
        <v>2467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  <c r="H258" s="17"/>
      <c r="K258"/>
      <c r="L258"/>
    </row>
    <row r="259" spans="1:12" s="7" customFormat="1" x14ac:dyDescent="0.25">
      <c r="A259" s="18" t="s">
        <v>2468</v>
      </c>
      <c r="B259" s="18" t="s">
        <v>2469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  <c r="H259" s="17"/>
      <c r="K259"/>
      <c r="L259"/>
    </row>
    <row r="260" spans="1:12" s="7" customFormat="1" x14ac:dyDescent="0.25">
      <c r="A260" s="18" t="s">
        <v>2470</v>
      </c>
      <c r="B260" s="18" t="s">
        <v>2471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  <c r="H260" s="17"/>
      <c r="K260"/>
      <c r="L260"/>
    </row>
    <row r="261" spans="1:12" s="7" customFormat="1" x14ac:dyDescent="0.25">
      <c r="A261" s="18" t="s">
        <v>2472</v>
      </c>
      <c r="B261" s="18" t="s">
        <v>2473</v>
      </c>
      <c r="C261" s="19">
        <v>792</v>
      </c>
      <c r="D261" s="19">
        <v>660</v>
      </c>
      <c r="E261" s="19">
        <v>1294</v>
      </c>
      <c r="F261" s="19">
        <v>0</v>
      </c>
      <c r="G261" s="19">
        <v>0</v>
      </c>
      <c r="H261" s="17"/>
      <c r="K261"/>
      <c r="L261"/>
    </row>
    <row r="262" spans="1:12" s="7" customFormat="1" x14ac:dyDescent="0.25">
      <c r="A262" s="18" t="s">
        <v>2474</v>
      </c>
      <c r="B262" s="18" t="s">
        <v>2475</v>
      </c>
      <c r="C262" s="19">
        <v>66</v>
      </c>
      <c r="D262" s="19">
        <v>0</v>
      </c>
      <c r="E262" s="19">
        <v>0</v>
      </c>
      <c r="F262" s="19">
        <v>0</v>
      </c>
      <c r="G262" s="19">
        <v>0</v>
      </c>
      <c r="H262" s="17"/>
      <c r="K262"/>
      <c r="L262"/>
    </row>
    <row r="263" spans="1:12" s="7" customFormat="1" ht="24" x14ac:dyDescent="0.25">
      <c r="A263" s="18" t="s">
        <v>2476</v>
      </c>
      <c r="B263" s="18" t="s">
        <v>2477</v>
      </c>
      <c r="C263" s="19">
        <v>0</v>
      </c>
      <c r="D263" s="19">
        <v>0</v>
      </c>
      <c r="E263" s="19">
        <v>0</v>
      </c>
      <c r="F263" s="19">
        <v>0</v>
      </c>
      <c r="G263" s="19">
        <v>0</v>
      </c>
      <c r="H263" s="17"/>
      <c r="K263"/>
      <c r="L263"/>
    </row>
    <row r="264" spans="1:12" s="7" customFormat="1" x14ac:dyDescent="0.25">
      <c r="A264" s="18" t="s">
        <v>2478</v>
      </c>
      <c r="B264" s="18" t="s">
        <v>2479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  <c r="H264" s="17"/>
      <c r="K264"/>
      <c r="L264"/>
    </row>
    <row r="265" spans="1:12" s="7" customFormat="1" x14ac:dyDescent="0.25">
      <c r="A265" s="18" t="s">
        <v>2480</v>
      </c>
      <c r="B265" s="18" t="s">
        <v>2481</v>
      </c>
      <c r="C265" s="19">
        <v>0</v>
      </c>
      <c r="D265" s="19">
        <v>0</v>
      </c>
      <c r="E265" s="19">
        <v>0</v>
      </c>
      <c r="F265" s="19">
        <v>0</v>
      </c>
      <c r="G265" s="19">
        <v>0</v>
      </c>
      <c r="H265" s="17"/>
      <c r="K265"/>
      <c r="L265"/>
    </row>
    <row r="266" spans="1:12" s="7" customFormat="1" x14ac:dyDescent="0.25">
      <c r="A266" s="18" t="s">
        <v>2482</v>
      </c>
      <c r="B266" s="18" t="s">
        <v>2483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  <c r="H266" s="17"/>
      <c r="K266"/>
      <c r="L266"/>
    </row>
    <row r="267" spans="1:12" s="7" customFormat="1" x14ac:dyDescent="0.25">
      <c r="A267" s="18" t="s">
        <v>2484</v>
      </c>
      <c r="B267" s="18" t="s">
        <v>2485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  <c r="H267" s="17"/>
      <c r="K267"/>
      <c r="L267"/>
    </row>
    <row r="268" spans="1:12" s="7" customFormat="1" x14ac:dyDescent="0.25">
      <c r="A268" s="18" t="s">
        <v>2486</v>
      </c>
      <c r="B268" s="18" t="s">
        <v>2487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  <c r="H268" s="17"/>
      <c r="K268"/>
      <c r="L268"/>
    </row>
    <row r="269" spans="1:12" s="7" customFormat="1" x14ac:dyDescent="0.25">
      <c r="A269" s="18" t="s">
        <v>2488</v>
      </c>
      <c r="B269" s="18" t="s">
        <v>2489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  <c r="H269" s="17"/>
      <c r="K269"/>
      <c r="L269"/>
    </row>
    <row r="270" spans="1:12" s="7" customFormat="1" x14ac:dyDescent="0.25">
      <c r="A270" s="18" t="s">
        <v>2490</v>
      </c>
      <c r="B270" s="18" t="s">
        <v>2491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  <c r="H270" s="17"/>
      <c r="K270"/>
      <c r="L270"/>
    </row>
    <row r="271" spans="1:12" s="7" customFormat="1" x14ac:dyDescent="0.25">
      <c r="A271" s="18" t="s">
        <v>2492</v>
      </c>
      <c r="B271" s="18" t="s">
        <v>2493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  <c r="H271" s="17"/>
      <c r="K271"/>
      <c r="L271"/>
    </row>
    <row r="272" spans="1:12" s="7" customFormat="1" x14ac:dyDescent="0.25">
      <c r="A272" s="18" t="s">
        <v>2494</v>
      </c>
      <c r="B272" s="18" t="s">
        <v>2495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  <c r="H272" s="17"/>
      <c r="K272"/>
      <c r="L272"/>
    </row>
    <row r="273" spans="1:12" s="7" customFormat="1" x14ac:dyDescent="0.25">
      <c r="A273" s="18" t="s">
        <v>2496</v>
      </c>
      <c r="B273" s="18" t="s">
        <v>2497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  <c r="H273" s="17"/>
      <c r="K273"/>
      <c r="L273"/>
    </row>
    <row r="274" spans="1:12" s="7" customFormat="1" ht="24" x14ac:dyDescent="0.25">
      <c r="A274" s="18" t="s">
        <v>2498</v>
      </c>
      <c r="B274" s="18" t="s">
        <v>2499</v>
      </c>
      <c r="C274" s="19">
        <v>355.84</v>
      </c>
      <c r="D274" s="19">
        <v>0</v>
      </c>
      <c r="E274" s="19">
        <v>0</v>
      </c>
      <c r="F274" s="19">
        <v>0</v>
      </c>
      <c r="G274" s="19">
        <v>0</v>
      </c>
      <c r="H274" s="17"/>
      <c r="K274"/>
      <c r="L274"/>
    </row>
    <row r="275" spans="1:12" s="7" customFormat="1" x14ac:dyDescent="0.25">
      <c r="A275" s="18" t="s">
        <v>2500</v>
      </c>
      <c r="B275" s="18" t="s">
        <v>2501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  <c r="H275" s="17"/>
      <c r="K275"/>
      <c r="L275"/>
    </row>
    <row r="276" spans="1:12" s="7" customFormat="1" x14ac:dyDescent="0.25">
      <c r="A276" s="18" t="s">
        <v>2502</v>
      </c>
      <c r="B276" s="18" t="s">
        <v>2503</v>
      </c>
      <c r="C276" s="19">
        <v>24</v>
      </c>
      <c r="D276" s="19">
        <v>2</v>
      </c>
      <c r="E276" s="19">
        <v>2</v>
      </c>
      <c r="F276" s="19">
        <v>0</v>
      </c>
      <c r="G276" s="19">
        <v>0</v>
      </c>
      <c r="H276" s="17"/>
      <c r="K276"/>
      <c r="L276"/>
    </row>
    <row r="277" spans="1:12" s="7" customFormat="1" x14ac:dyDescent="0.25">
      <c r="A277" s="18" t="s">
        <v>2504</v>
      </c>
      <c r="B277" s="18" t="s">
        <v>2505</v>
      </c>
      <c r="C277" s="19">
        <v>21</v>
      </c>
      <c r="D277" s="19">
        <v>0</v>
      </c>
      <c r="E277" s="19">
        <v>0</v>
      </c>
      <c r="F277" s="19">
        <v>0</v>
      </c>
      <c r="G277" s="19">
        <v>0</v>
      </c>
      <c r="H277" s="17"/>
      <c r="K277"/>
      <c r="L277"/>
    </row>
    <row r="278" spans="1:12" s="7" customFormat="1" x14ac:dyDescent="0.25">
      <c r="A278" s="18" t="s">
        <v>2506</v>
      </c>
      <c r="B278" s="18" t="s">
        <v>64</v>
      </c>
      <c r="C278" s="19">
        <v>3</v>
      </c>
      <c r="D278" s="19">
        <v>0</v>
      </c>
      <c r="E278" s="19">
        <v>0</v>
      </c>
      <c r="F278" s="19">
        <v>0</v>
      </c>
      <c r="G278" s="19">
        <v>0</v>
      </c>
      <c r="H278" s="17"/>
      <c r="K278"/>
      <c r="L278"/>
    </row>
    <row r="279" spans="1:12" s="7" customFormat="1" x14ac:dyDescent="0.25">
      <c r="A279" s="18" t="s">
        <v>2507</v>
      </c>
      <c r="B279" s="18" t="s">
        <v>2508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  <c r="H279" s="17"/>
      <c r="K279"/>
      <c r="L279"/>
    </row>
    <row r="280" spans="1:12" s="7" customFormat="1" x14ac:dyDescent="0.25">
      <c r="A280" s="18" t="s">
        <v>2509</v>
      </c>
      <c r="B280" s="18" t="s">
        <v>2510</v>
      </c>
      <c r="C280" s="19">
        <v>1707.22</v>
      </c>
      <c r="D280" s="19">
        <v>2243.88</v>
      </c>
      <c r="E280" s="19">
        <v>2243.88</v>
      </c>
      <c r="F280" s="19">
        <v>0</v>
      </c>
      <c r="G280" s="19">
        <v>0</v>
      </c>
      <c r="H280" s="17"/>
      <c r="K280"/>
      <c r="L280"/>
    </row>
    <row r="281" spans="1:12" s="7" customFormat="1" x14ac:dyDescent="0.25">
      <c r="A281" s="16" t="s">
        <v>2511</v>
      </c>
      <c r="B281" s="16" t="s">
        <v>2</v>
      </c>
      <c r="C281" s="20">
        <v>104405.93</v>
      </c>
      <c r="D281" s="20">
        <v>70022.259999999995</v>
      </c>
      <c r="E281" s="20">
        <f>SUM(E224:E280)</f>
        <v>98336.530000000013</v>
      </c>
      <c r="F281" s="20">
        <f>SUM(F224:F280)</f>
        <v>83592.98000000001</v>
      </c>
      <c r="G281" s="20">
        <f>SUM(G224:G280)</f>
        <v>84000</v>
      </c>
      <c r="H281" s="17"/>
      <c r="K281"/>
      <c r="L281"/>
    </row>
    <row r="282" spans="1:12" s="7" customFormat="1" x14ac:dyDescent="0.25">
      <c r="A282" s="16" t="s">
        <v>2</v>
      </c>
      <c r="B282" s="16" t="s">
        <v>2</v>
      </c>
      <c r="C282" s="16" t="s">
        <v>2</v>
      </c>
      <c r="D282" s="16" t="s">
        <v>2</v>
      </c>
      <c r="E282" s="16"/>
      <c r="F282" s="16" t="s">
        <v>2</v>
      </c>
      <c r="G282" s="16" t="s">
        <v>2</v>
      </c>
      <c r="H282" s="17"/>
      <c r="K282"/>
      <c r="L282"/>
    </row>
    <row r="283" spans="1:12" s="7" customFormat="1" x14ac:dyDescent="0.25">
      <c r="A283" s="23" t="s">
        <v>2546</v>
      </c>
      <c r="B283" s="16" t="s">
        <v>2</v>
      </c>
      <c r="C283" s="17"/>
      <c r="D283" s="17"/>
      <c r="E283" s="17"/>
      <c r="F283" s="17"/>
      <c r="G283" s="17"/>
      <c r="H283" s="17"/>
      <c r="K283"/>
      <c r="L283"/>
    </row>
    <row r="284" spans="1:12" s="7" customFormat="1" x14ac:dyDescent="0.25">
      <c r="A284" s="18" t="s">
        <v>2512</v>
      </c>
      <c r="B284" s="18" t="s">
        <v>2513</v>
      </c>
      <c r="C284" s="19">
        <v>270000</v>
      </c>
      <c r="D284" s="19">
        <v>0</v>
      </c>
      <c r="E284" s="19">
        <v>0</v>
      </c>
      <c r="F284" s="19">
        <v>270000</v>
      </c>
      <c r="G284" s="64">
        <f>G1278</f>
        <v>300000</v>
      </c>
      <c r="H284" s="17"/>
      <c r="K284"/>
      <c r="L284"/>
    </row>
    <row r="285" spans="1:12" s="7" customFormat="1" x14ac:dyDescent="0.25">
      <c r="A285" s="18" t="s">
        <v>2514</v>
      </c>
      <c r="B285" s="18" t="s">
        <v>2515</v>
      </c>
      <c r="C285" s="19">
        <v>0</v>
      </c>
      <c r="D285" s="19">
        <v>0</v>
      </c>
      <c r="E285" s="19">
        <v>0</v>
      </c>
      <c r="F285" s="19">
        <v>0</v>
      </c>
      <c r="G285" s="64">
        <v>0</v>
      </c>
      <c r="H285" s="17"/>
      <c r="K285"/>
      <c r="L285"/>
    </row>
    <row r="286" spans="1:12" s="7" customFormat="1" x14ac:dyDescent="0.25">
      <c r="A286" s="18" t="s">
        <v>2516</v>
      </c>
      <c r="B286" s="18" t="s">
        <v>2517</v>
      </c>
      <c r="C286" s="19">
        <v>0</v>
      </c>
      <c r="D286" s="19">
        <v>0</v>
      </c>
      <c r="E286" s="19">
        <v>0</v>
      </c>
      <c r="F286" s="19">
        <v>0</v>
      </c>
      <c r="G286" s="64">
        <v>0</v>
      </c>
      <c r="H286" s="17"/>
      <c r="K286"/>
      <c r="L286"/>
    </row>
    <row r="287" spans="1:12" s="7" customFormat="1" x14ac:dyDescent="0.25">
      <c r="A287" s="18" t="s">
        <v>2518</v>
      </c>
      <c r="B287" s="18" t="s">
        <v>2519</v>
      </c>
      <c r="C287" s="19">
        <v>50000</v>
      </c>
      <c r="D287" s="19">
        <v>0</v>
      </c>
      <c r="E287" s="19">
        <v>0</v>
      </c>
      <c r="F287" s="19">
        <v>0</v>
      </c>
      <c r="G287" s="64">
        <v>0</v>
      </c>
      <c r="H287" s="17"/>
      <c r="K287"/>
      <c r="L287"/>
    </row>
    <row r="288" spans="1:12" s="7" customFormat="1" x14ac:dyDescent="0.25">
      <c r="A288" s="18" t="s">
        <v>2520</v>
      </c>
      <c r="B288" s="18" t="s">
        <v>2521</v>
      </c>
      <c r="C288" s="19">
        <v>8000</v>
      </c>
      <c r="D288" s="19">
        <v>0</v>
      </c>
      <c r="E288" s="19">
        <v>0</v>
      </c>
      <c r="F288" s="19">
        <v>13500</v>
      </c>
      <c r="G288" s="64">
        <f>G1376</f>
        <v>13500</v>
      </c>
      <c r="H288" s="17"/>
      <c r="K288"/>
      <c r="L288"/>
    </row>
    <row r="289" spans="1:12" s="7" customFormat="1" x14ac:dyDescent="0.25">
      <c r="A289" s="18" t="s">
        <v>2522</v>
      </c>
      <c r="B289" s="18" t="s">
        <v>2523</v>
      </c>
      <c r="C289" s="19">
        <v>91813.5</v>
      </c>
      <c r="D289" s="19">
        <v>0</v>
      </c>
      <c r="E289" s="19">
        <v>0</v>
      </c>
      <c r="F289" s="19">
        <v>50000</v>
      </c>
      <c r="G289" s="64">
        <f>G1212</f>
        <v>50000</v>
      </c>
      <c r="H289" s="17"/>
      <c r="K289"/>
      <c r="L289"/>
    </row>
    <row r="290" spans="1:12" s="7" customFormat="1" x14ac:dyDescent="0.25">
      <c r="A290" s="18" t="s">
        <v>2524</v>
      </c>
      <c r="B290" s="18" t="s">
        <v>2525</v>
      </c>
      <c r="C290" s="19">
        <v>25000</v>
      </c>
      <c r="D290" s="19">
        <v>0</v>
      </c>
      <c r="E290" s="19">
        <v>0</v>
      </c>
      <c r="F290" s="19">
        <v>25000</v>
      </c>
      <c r="G290" s="64">
        <f>G1268</f>
        <v>25000</v>
      </c>
      <c r="H290" s="17"/>
      <c r="K290"/>
      <c r="L290"/>
    </row>
    <row r="291" spans="1:12" s="7" customFormat="1" x14ac:dyDescent="0.25">
      <c r="A291" s="18" t="s">
        <v>2526</v>
      </c>
      <c r="B291" s="18" t="s">
        <v>2527</v>
      </c>
      <c r="C291" s="19">
        <v>0</v>
      </c>
      <c r="D291" s="19">
        <v>0</v>
      </c>
      <c r="E291" s="19">
        <v>0</v>
      </c>
      <c r="F291" s="19">
        <v>0</v>
      </c>
      <c r="G291" s="64">
        <v>0</v>
      </c>
      <c r="H291" s="17"/>
      <c r="K291"/>
      <c r="L291"/>
    </row>
    <row r="292" spans="1:12" s="7" customFormat="1" x14ac:dyDescent="0.25">
      <c r="A292" s="18" t="s">
        <v>2528</v>
      </c>
      <c r="B292" s="18" t="s">
        <v>2529</v>
      </c>
      <c r="C292" s="19">
        <v>665000</v>
      </c>
      <c r="D292" s="19">
        <v>0</v>
      </c>
      <c r="E292" s="19">
        <v>0</v>
      </c>
      <c r="F292" s="19">
        <v>0</v>
      </c>
      <c r="G292" s="64">
        <v>0</v>
      </c>
      <c r="H292" s="17"/>
      <c r="K292"/>
      <c r="L292"/>
    </row>
    <row r="293" spans="1:12" s="7" customFormat="1" x14ac:dyDescent="0.25">
      <c r="A293" s="18" t="s">
        <v>2530</v>
      </c>
      <c r="B293" s="18" t="s">
        <v>2531</v>
      </c>
      <c r="C293" s="19">
        <v>0</v>
      </c>
      <c r="D293" s="19">
        <v>0</v>
      </c>
      <c r="E293" s="19">
        <v>0</v>
      </c>
      <c r="F293" s="19">
        <v>0</v>
      </c>
      <c r="G293" s="64">
        <v>0</v>
      </c>
      <c r="H293" s="17"/>
      <c r="K293"/>
      <c r="L293"/>
    </row>
    <row r="294" spans="1:12" s="7" customFormat="1" x14ac:dyDescent="0.25">
      <c r="A294" s="23" t="s">
        <v>2547</v>
      </c>
      <c r="B294" s="16" t="s">
        <v>2</v>
      </c>
      <c r="C294" s="20">
        <v>1109813.5</v>
      </c>
      <c r="D294" s="20">
        <v>0</v>
      </c>
      <c r="E294" s="20">
        <f>SUM(E284:E293)</f>
        <v>0</v>
      </c>
      <c r="F294" s="20">
        <f>SUM(F284:F293)</f>
        <v>358500</v>
      </c>
      <c r="G294" s="20">
        <f>SUM(G284:G293)</f>
        <v>388500</v>
      </c>
      <c r="H294" s="17"/>
      <c r="K294"/>
      <c r="L294"/>
    </row>
    <row r="295" spans="1:12" s="7" customFormat="1" x14ac:dyDescent="0.25">
      <c r="A295" s="16" t="s">
        <v>2</v>
      </c>
      <c r="B295" s="16" t="s">
        <v>2</v>
      </c>
      <c r="C295" s="16" t="s">
        <v>2</v>
      </c>
      <c r="D295" s="16" t="s">
        <v>2</v>
      </c>
      <c r="E295" s="16"/>
      <c r="F295" s="16" t="s">
        <v>2</v>
      </c>
      <c r="G295" s="16" t="s">
        <v>2</v>
      </c>
      <c r="H295" s="17"/>
      <c r="K295"/>
      <c r="L295"/>
    </row>
    <row r="296" spans="1:12" s="7" customFormat="1" x14ac:dyDescent="0.25">
      <c r="A296" s="16" t="s">
        <v>2532</v>
      </c>
      <c r="B296" s="16" t="s">
        <v>2</v>
      </c>
      <c r="C296" s="17"/>
      <c r="D296" s="17"/>
      <c r="E296" s="17"/>
      <c r="F296" s="17"/>
      <c r="G296" s="17"/>
      <c r="H296" s="17"/>
      <c r="K296"/>
      <c r="L296"/>
    </row>
    <row r="297" spans="1:12" s="7" customFormat="1" x14ac:dyDescent="0.25">
      <c r="A297" s="18" t="s">
        <v>2533</v>
      </c>
      <c r="B297" s="18" t="s">
        <v>2534</v>
      </c>
      <c r="C297" s="19">
        <v>0</v>
      </c>
      <c r="D297" s="19">
        <v>0</v>
      </c>
      <c r="E297" s="19">
        <v>0</v>
      </c>
      <c r="F297" s="19">
        <v>0</v>
      </c>
      <c r="G297" s="19">
        <v>0</v>
      </c>
      <c r="H297" s="17"/>
      <c r="K297"/>
      <c r="L297"/>
    </row>
    <row r="298" spans="1:12" s="7" customFormat="1" x14ac:dyDescent="0.25">
      <c r="A298" s="18" t="s">
        <v>2535</v>
      </c>
      <c r="B298" s="18" t="s">
        <v>2536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  <c r="H298" s="17"/>
      <c r="K298"/>
      <c r="L298"/>
    </row>
    <row r="299" spans="1:12" s="7" customFormat="1" ht="24" x14ac:dyDescent="0.25">
      <c r="A299" s="16" t="s">
        <v>2537</v>
      </c>
      <c r="B299" s="16" t="s">
        <v>2</v>
      </c>
      <c r="C299" s="20">
        <v>0</v>
      </c>
      <c r="D299" s="20">
        <v>0</v>
      </c>
      <c r="E299" s="20">
        <f>SUM(E297:E298)</f>
        <v>0</v>
      </c>
      <c r="F299" s="20">
        <f>SUM(F297:F298)</f>
        <v>0</v>
      </c>
      <c r="G299" s="20">
        <f>SUM(G297:G298)</f>
        <v>0</v>
      </c>
      <c r="H299" s="17"/>
      <c r="K299"/>
      <c r="L299"/>
    </row>
    <row r="300" spans="1:12" s="7" customFormat="1" x14ac:dyDescent="0.25">
      <c r="A300" s="16" t="s">
        <v>2</v>
      </c>
      <c r="B300" s="16" t="s">
        <v>2</v>
      </c>
      <c r="C300" s="16" t="s">
        <v>2</v>
      </c>
      <c r="D300" s="16" t="s">
        <v>2</v>
      </c>
      <c r="E300" s="16"/>
      <c r="F300" s="16" t="s">
        <v>2</v>
      </c>
      <c r="G300" s="16" t="s">
        <v>2</v>
      </c>
      <c r="H300" s="17"/>
      <c r="K300"/>
      <c r="L300"/>
    </row>
    <row r="301" spans="1:12" s="7" customFormat="1" x14ac:dyDescent="0.25">
      <c r="A301" s="18" t="s">
        <v>2538</v>
      </c>
      <c r="B301" s="18" t="s">
        <v>2539</v>
      </c>
      <c r="C301" s="19">
        <v>-30305.47</v>
      </c>
      <c r="D301" s="19">
        <v>192699.33</v>
      </c>
      <c r="E301" s="19">
        <v>270605.43</v>
      </c>
      <c r="F301" s="19">
        <v>75000</v>
      </c>
      <c r="G301" s="19">
        <v>100000</v>
      </c>
      <c r="H301" s="17"/>
      <c r="K301"/>
      <c r="L301"/>
    </row>
    <row r="302" spans="1:12" s="7" customFormat="1" x14ac:dyDescent="0.25">
      <c r="A302" s="18" t="s">
        <v>2540</v>
      </c>
      <c r="B302" s="18" t="s">
        <v>2541</v>
      </c>
      <c r="C302" s="19">
        <v>16000</v>
      </c>
      <c r="D302" s="19">
        <v>0</v>
      </c>
      <c r="E302" s="19">
        <v>0</v>
      </c>
      <c r="F302" s="19">
        <v>0</v>
      </c>
      <c r="G302" s="19">
        <v>0</v>
      </c>
      <c r="H302" s="17"/>
      <c r="K302"/>
      <c r="L302"/>
    </row>
    <row r="303" spans="1:12" s="7" customFormat="1" x14ac:dyDescent="0.25">
      <c r="A303" s="18" t="s">
        <v>2542</v>
      </c>
      <c r="B303" s="18" t="s">
        <v>704</v>
      </c>
      <c r="C303" s="19">
        <v>0</v>
      </c>
      <c r="D303" s="19">
        <v>3345.71</v>
      </c>
      <c r="E303" s="19">
        <v>3345.71</v>
      </c>
      <c r="F303" s="19">
        <v>0</v>
      </c>
      <c r="G303" s="19">
        <v>0</v>
      </c>
      <c r="H303" s="17"/>
      <c r="K303"/>
      <c r="L303"/>
    </row>
    <row r="304" spans="1:12" s="7" customFormat="1" x14ac:dyDescent="0.25">
      <c r="A304" s="16" t="s">
        <v>738</v>
      </c>
      <c r="B304" s="16" t="s">
        <v>2</v>
      </c>
      <c r="C304" s="20">
        <v>12754872.9</v>
      </c>
      <c r="D304" s="20">
        <v>5630348.7800000003</v>
      </c>
      <c r="E304" s="20">
        <f>E19+E52+E99+E106+E177+E221+E281+E294+E299+E301+E302+E303</f>
        <v>8449046.5800000019</v>
      </c>
      <c r="F304" s="20">
        <f>SUM(F301:F303)+F299+F294+F281+F221+F177+F106+F99+F52+F19</f>
        <v>9666905.6799999997</v>
      </c>
      <c r="G304" s="20">
        <f>SUM(G301:G303)+G299+G294+G281+G221+G177+G106+G99+G52+G19</f>
        <v>9616315.2199999988</v>
      </c>
      <c r="H304" s="17"/>
      <c r="K304"/>
      <c r="L304"/>
    </row>
    <row r="305" spans="1:8" x14ac:dyDescent="0.25">
      <c r="A305" s="1" t="s">
        <v>2548</v>
      </c>
      <c r="B305" s="1" t="s">
        <v>2</v>
      </c>
      <c r="C305" s="1" t="s">
        <v>2</v>
      </c>
      <c r="D305" s="1" t="s">
        <v>2</v>
      </c>
      <c r="E305" s="24"/>
      <c r="F305" s="1" t="s">
        <v>2</v>
      </c>
      <c r="G305" s="1" t="s">
        <v>2</v>
      </c>
    </row>
    <row r="306" spans="1:8" ht="15" customHeight="1" x14ac:dyDescent="0.25">
      <c r="A306" s="1" t="s">
        <v>5</v>
      </c>
      <c r="B306" s="1" t="s">
        <v>2</v>
      </c>
    </row>
    <row r="307" spans="1:8" ht="15" customHeight="1" x14ac:dyDescent="0.25">
      <c r="A307" s="2" t="s">
        <v>6</v>
      </c>
      <c r="B307" s="2" t="s">
        <v>7</v>
      </c>
      <c r="C307" s="3">
        <v>1362.59</v>
      </c>
      <c r="D307" s="3">
        <v>309.47000000000003</v>
      </c>
      <c r="E307" s="3">
        <v>601.75</v>
      </c>
      <c r="F307" s="3">
        <v>2000</v>
      </c>
      <c r="G307" s="5">
        <v>0</v>
      </c>
    </row>
    <row r="308" spans="1:8" ht="15" customHeight="1" x14ac:dyDescent="0.25">
      <c r="A308" s="2" t="s">
        <v>8</v>
      </c>
      <c r="B308" s="2" t="s">
        <v>9</v>
      </c>
      <c r="C308" s="3">
        <v>55555.91</v>
      </c>
      <c r="D308" s="3">
        <v>29277.599999999999</v>
      </c>
      <c r="E308" s="3">
        <v>48709.599999999999</v>
      </c>
      <c r="F308" s="3">
        <v>58296</v>
      </c>
      <c r="G308" s="5">
        <f>F308*1.055</f>
        <v>61502.28</v>
      </c>
    </row>
    <row r="309" spans="1:8" ht="15" customHeight="1" x14ac:dyDescent="0.25">
      <c r="A309" s="2" t="s">
        <v>10</v>
      </c>
      <c r="B309" s="2" t="s">
        <v>11</v>
      </c>
      <c r="C309" s="3">
        <v>4249.9399999999996</v>
      </c>
      <c r="D309" s="3">
        <v>2239.69</v>
      </c>
      <c r="E309" s="3">
        <v>3726.21</v>
      </c>
      <c r="F309" s="3">
        <v>4459.6400000000003</v>
      </c>
      <c r="G309" s="5">
        <f t="shared" ref="G309:G310" si="0">F309*1.055</f>
        <v>4704.9202000000005</v>
      </c>
    </row>
    <row r="310" spans="1:8" ht="15" customHeight="1" x14ac:dyDescent="0.25">
      <c r="A310" s="2" t="s">
        <v>12</v>
      </c>
      <c r="B310" s="2" t="s">
        <v>13</v>
      </c>
      <c r="C310" s="3">
        <v>81.59</v>
      </c>
      <c r="D310" s="3">
        <v>60.91</v>
      </c>
      <c r="E310" s="3">
        <v>100.88</v>
      </c>
      <c r="F310" s="3">
        <v>85.7</v>
      </c>
      <c r="G310" s="5">
        <f t="shared" si="0"/>
        <v>90.413499999999999</v>
      </c>
    </row>
    <row r="311" spans="1:8" x14ac:dyDescent="0.25">
      <c r="A311" s="2" t="s">
        <v>14</v>
      </c>
      <c r="B311" s="2" t="s">
        <v>15</v>
      </c>
      <c r="C311" s="3">
        <v>6154.65</v>
      </c>
      <c r="D311" s="3">
        <v>6914.48</v>
      </c>
      <c r="E311" s="3">
        <v>6914.48</v>
      </c>
      <c r="F311" s="3">
        <v>6914.48</v>
      </c>
      <c r="G311" s="5">
        <v>6154.65</v>
      </c>
    </row>
    <row r="312" spans="1:8" ht="15" customHeight="1" x14ac:dyDescent="0.25">
      <c r="A312" s="2" t="s">
        <v>16</v>
      </c>
      <c r="B312" s="2" t="s">
        <v>17</v>
      </c>
      <c r="C312" s="3">
        <v>0</v>
      </c>
      <c r="D312" s="3">
        <v>0</v>
      </c>
      <c r="E312" s="3">
        <v>2289.79</v>
      </c>
      <c r="F312" s="3">
        <v>3000</v>
      </c>
      <c r="G312" s="5">
        <v>3000</v>
      </c>
    </row>
    <row r="313" spans="1:8" ht="15" customHeight="1" x14ac:dyDescent="0.25">
      <c r="A313" s="2" t="s">
        <v>18</v>
      </c>
      <c r="B313" s="2" t="s">
        <v>19</v>
      </c>
      <c r="C313" s="3">
        <v>0</v>
      </c>
      <c r="D313" s="3">
        <v>0</v>
      </c>
      <c r="E313" s="3">
        <v>0</v>
      </c>
      <c r="F313" s="3">
        <v>200</v>
      </c>
      <c r="G313" s="5">
        <v>200</v>
      </c>
    </row>
    <row r="314" spans="1:8" ht="15" customHeight="1" x14ac:dyDescent="0.25">
      <c r="A314" s="2" t="s">
        <v>20</v>
      </c>
      <c r="B314" s="2" t="s">
        <v>21</v>
      </c>
      <c r="C314" s="3">
        <v>908.32</v>
      </c>
      <c r="D314" s="3">
        <v>311</v>
      </c>
      <c r="E314" s="3">
        <v>1101</v>
      </c>
      <c r="F314" s="3">
        <v>5000</v>
      </c>
      <c r="G314" s="5">
        <v>7000</v>
      </c>
      <c r="H314" t="s">
        <v>3420</v>
      </c>
    </row>
    <row r="315" spans="1:8" ht="15" customHeight="1" x14ac:dyDescent="0.25">
      <c r="A315" s="1" t="s">
        <v>22</v>
      </c>
      <c r="B315" s="1" t="s">
        <v>2</v>
      </c>
      <c r="C315" s="6">
        <v>68313</v>
      </c>
      <c r="D315" s="6">
        <v>39113.15</v>
      </c>
      <c r="E315" s="6">
        <f>SUM(E307:E314)</f>
        <v>63443.71</v>
      </c>
      <c r="F315" s="6">
        <f>SUM(F307:F314)</f>
        <v>79955.819999999992</v>
      </c>
      <c r="G315" s="6">
        <f>SUM(G307:G314)</f>
        <v>82652.263699999981</v>
      </c>
    </row>
    <row r="316" spans="1:8" x14ac:dyDescent="0.25">
      <c r="A316" s="1" t="s">
        <v>2</v>
      </c>
      <c r="B316" s="1" t="s">
        <v>2</v>
      </c>
      <c r="C316" s="1" t="s">
        <v>2</v>
      </c>
      <c r="D316" s="1" t="s">
        <v>2</v>
      </c>
      <c r="E316" s="1"/>
      <c r="F316" s="1" t="s">
        <v>2</v>
      </c>
      <c r="G316" s="1" t="s">
        <v>2</v>
      </c>
    </row>
    <row r="317" spans="1:8" ht="15" customHeight="1" x14ac:dyDescent="0.25">
      <c r="A317" s="1" t="s">
        <v>23</v>
      </c>
      <c r="B317" s="1" t="s">
        <v>2</v>
      </c>
    </row>
    <row r="318" spans="1:8" ht="15" customHeight="1" x14ac:dyDescent="0.25">
      <c r="A318" s="2" t="s">
        <v>24</v>
      </c>
      <c r="B318" s="2" t="s">
        <v>25</v>
      </c>
      <c r="C318" s="3">
        <v>0</v>
      </c>
      <c r="D318" s="3">
        <v>0</v>
      </c>
      <c r="E318" s="3">
        <v>0</v>
      </c>
      <c r="F318" s="3">
        <v>0</v>
      </c>
      <c r="G318" s="5">
        <v>0</v>
      </c>
    </row>
    <row r="319" spans="1:8" ht="15" customHeight="1" x14ac:dyDescent="0.25">
      <c r="A319" s="2" t="s">
        <v>26</v>
      </c>
      <c r="B319" s="2" t="s">
        <v>27</v>
      </c>
      <c r="C319" s="3">
        <v>137143.41</v>
      </c>
      <c r="D319" s="3">
        <v>67842.759999999995</v>
      </c>
      <c r="E319" s="3">
        <v>125365.26</v>
      </c>
      <c r="F319" s="3">
        <v>192584.08</v>
      </c>
      <c r="G319" s="5">
        <f>F319*1.055</f>
        <v>203176.20439999999</v>
      </c>
    </row>
    <row r="320" spans="1:8" ht="15" customHeight="1" x14ac:dyDescent="0.25">
      <c r="A320" s="2" t="s">
        <v>28</v>
      </c>
      <c r="B320" s="2" t="s">
        <v>29</v>
      </c>
      <c r="C320" s="3">
        <v>23814.3</v>
      </c>
      <c r="D320" s="3">
        <v>11566.52</v>
      </c>
      <c r="E320" s="3">
        <v>19982.080000000002</v>
      </c>
      <c r="F320" s="3">
        <v>54909.78</v>
      </c>
      <c r="G320" s="5">
        <f t="shared" ref="G320:G324" si="1">F320*1.055</f>
        <v>57929.817899999995</v>
      </c>
    </row>
    <row r="321" spans="1:7" ht="15" customHeight="1" x14ac:dyDescent="0.25">
      <c r="A321" s="2" t="s">
        <v>30</v>
      </c>
      <c r="B321" s="2" t="s">
        <v>31</v>
      </c>
      <c r="C321" s="3">
        <v>514.64</v>
      </c>
      <c r="D321" s="3">
        <v>224.8</v>
      </c>
      <c r="E321" s="3">
        <v>403.73</v>
      </c>
      <c r="F321" s="3">
        <v>693.7</v>
      </c>
      <c r="G321" s="5">
        <f t="shared" si="1"/>
        <v>731.85350000000005</v>
      </c>
    </row>
    <row r="322" spans="1:7" ht="15" customHeight="1" x14ac:dyDescent="0.25">
      <c r="A322" s="2" t="s">
        <v>32</v>
      </c>
      <c r="B322" s="2" t="s">
        <v>33</v>
      </c>
      <c r="C322" s="3">
        <v>17954.310000000001</v>
      </c>
      <c r="D322" s="3">
        <v>7926.35</v>
      </c>
      <c r="E322" s="3">
        <v>13893.7</v>
      </c>
      <c r="F322" s="3">
        <v>23416.18</v>
      </c>
      <c r="G322" s="5">
        <f t="shared" si="1"/>
        <v>24704.069899999999</v>
      </c>
    </row>
    <row r="323" spans="1:7" ht="15" customHeight="1" x14ac:dyDescent="0.25">
      <c r="A323" s="2" t="s">
        <v>34</v>
      </c>
      <c r="B323" s="2" t="s">
        <v>11</v>
      </c>
      <c r="C323" s="3">
        <v>10353.52</v>
      </c>
      <c r="D323" s="3">
        <v>5124.08</v>
      </c>
      <c r="E323" s="3">
        <v>9476.7199999999993</v>
      </c>
      <c r="F323" s="3">
        <v>14732.68</v>
      </c>
      <c r="G323" s="5">
        <f t="shared" si="1"/>
        <v>15542.9774</v>
      </c>
    </row>
    <row r="324" spans="1:7" ht="15" customHeight="1" x14ac:dyDescent="0.25">
      <c r="A324" s="2" t="s">
        <v>35</v>
      </c>
      <c r="B324" s="2" t="s">
        <v>13</v>
      </c>
      <c r="C324" s="3">
        <v>201.06</v>
      </c>
      <c r="D324" s="3">
        <v>145.07</v>
      </c>
      <c r="E324" s="3">
        <v>267.27999999999997</v>
      </c>
      <c r="F324" s="3">
        <v>283.10000000000002</v>
      </c>
      <c r="G324" s="5">
        <f t="shared" si="1"/>
        <v>298.6705</v>
      </c>
    </row>
    <row r="325" spans="1:7" ht="15" customHeight="1" x14ac:dyDescent="0.25">
      <c r="A325" s="2" t="s">
        <v>36</v>
      </c>
      <c r="B325" s="2" t="s">
        <v>37</v>
      </c>
      <c r="C325" s="3">
        <v>3039.06</v>
      </c>
      <c r="D325" s="3">
        <v>321.20999999999998</v>
      </c>
      <c r="E325" s="3">
        <v>1277.6600000000001</v>
      </c>
      <c r="F325" s="3">
        <v>4000</v>
      </c>
      <c r="G325" s="5">
        <v>4500</v>
      </c>
    </row>
    <row r="326" spans="1:7" ht="15" customHeight="1" x14ac:dyDescent="0.25">
      <c r="A326" s="2" t="s">
        <v>38</v>
      </c>
      <c r="B326" s="2" t="s">
        <v>39</v>
      </c>
      <c r="C326" s="3">
        <v>42.4</v>
      </c>
      <c r="D326" s="3">
        <v>42.96</v>
      </c>
      <c r="E326" s="3">
        <v>198.96</v>
      </c>
      <c r="F326" s="3">
        <v>3800</v>
      </c>
      <c r="G326" s="5">
        <v>3800</v>
      </c>
    </row>
    <row r="327" spans="1:7" x14ac:dyDescent="0.25">
      <c r="A327" s="2" t="s">
        <v>40</v>
      </c>
      <c r="B327" s="2" t="s">
        <v>41</v>
      </c>
      <c r="C327" s="3">
        <v>7206.84</v>
      </c>
      <c r="D327" s="3">
        <v>6459.61</v>
      </c>
      <c r="E327" s="3">
        <v>6459.61</v>
      </c>
      <c r="F327" s="3">
        <v>6459.61</v>
      </c>
      <c r="G327" s="5">
        <v>7206.84</v>
      </c>
    </row>
    <row r="328" spans="1:7" ht="15" customHeight="1" x14ac:dyDescent="0.25">
      <c r="A328" s="2" t="s">
        <v>42</v>
      </c>
      <c r="B328" s="2" t="s">
        <v>43</v>
      </c>
      <c r="C328" s="3">
        <v>4490.8500000000004</v>
      </c>
      <c r="D328" s="3">
        <v>3901.26</v>
      </c>
      <c r="E328" s="3">
        <v>3901.26</v>
      </c>
      <c r="F328" s="3">
        <v>3901.26</v>
      </c>
      <c r="G328" s="5">
        <v>4490.8500000000004</v>
      </c>
    </row>
    <row r="329" spans="1:7" ht="15" customHeight="1" x14ac:dyDescent="0.25">
      <c r="A329" s="2" t="s">
        <v>44</v>
      </c>
      <c r="B329" s="2" t="s">
        <v>45</v>
      </c>
      <c r="C329" s="3">
        <v>147204</v>
      </c>
      <c r="D329" s="3">
        <v>54326</v>
      </c>
      <c r="E329" s="3">
        <v>110052</v>
      </c>
      <c r="F329" s="3">
        <v>145000</v>
      </c>
      <c r="G329" s="5">
        <v>170000</v>
      </c>
    </row>
    <row r="330" spans="1:7" ht="15" customHeight="1" x14ac:dyDescent="0.25">
      <c r="A330" s="2" t="s">
        <v>46</v>
      </c>
      <c r="B330" s="2" t="s">
        <v>47</v>
      </c>
      <c r="C330" s="3">
        <v>99480</v>
      </c>
      <c r="D330" s="3">
        <v>34425</v>
      </c>
      <c r="E330" s="3">
        <v>70440</v>
      </c>
      <c r="F330" s="3">
        <v>108000</v>
      </c>
      <c r="G330" s="55">
        <v>108000</v>
      </c>
    </row>
    <row r="331" spans="1:7" ht="15" customHeight="1" x14ac:dyDescent="0.25">
      <c r="A331" s="2" t="s">
        <v>48</v>
      </c>
      <c r="B331" s="2" t="s">
        <v>49</v>
      </c>
      <c r="C331" s="3">
        <v>16161.82</v>
      </c>
      <c r="D331" s="3">
        <v>3870.63</v>
      </c>
      <c r="E331" s="3">
        <v>7546.05</v>
      </c>
      <c r="F331" s="3">
        <v>11000</v>
      </c>
      <c r="G331" s="5">
        <v>11000</v>
      </c>
    </row>
    <row r="332" spans="1:7" ht="15" customHeight="1" x14ac:dyDescent="0.25">
      <c r="A332" s="2" t="s">
        <v>50</v>
      </c>
      <c r="B332" s="2" t="s">
        <v>51</v>
      </c>
      <c r="C332" s="3">
        <v>9993.7999999999993</v>
      </c>
      <c r="D332" s="3">
        <v>3500</v>
      </c>
      <c r="E332" s="3">
        <v>8326.25</v>
      </c>
      <c r="F332" s="3">
        <v>5500</v>
      </c>
      <c r="G332" s="5">
        <v>15000</v>
      </c>
    </row>
    <row r="333" spans="1:7" ht="15" customHeight="1" x14ac:dyDescent="0.25">
      <c r="A333" s="2" t="s">
        <v>52</v>
      </c>
      <c r="B333" s="2" t="s">
        <v>53</v>
      </c>
      <c r="C333" s="3">
        <v>3132.02</v>
      </c>
      <c r="D333" s="3">
        <v>1113.7</v>
      </c>
      <c r="E333" s="3">
        <v>1980.1</v>
      </c>
      <c r="F333" s="3">
        <v>3200</v>
      </c>
      <c r="G333" s="5">
        <v>4500</v>
      </c>
    </row>
    <row r="334" spans="1:7" ht="15" customHeight="1" x14ac:dyDescent="0.25">
      <c r="A334" s="2" t="s">
        <v>54</v>
      </c>
      <c r="B334" s="2" t="s">
        <v>55</v>
      </c>
      <c r="C334" s="3">
        <v>26566.75</v>
      </c>
      <c r="D334" s="3">
        <v>11531</v>
      </c>
      <c r="E334" s="3">
        <v>19143.7</v>
      </c>
      <c r="F334" s="3">
        <v>40000</v>
      </c>
      <c r="G334" s="5">
        <v>0</v>
      </c>
    </row>
    <row r="335" spans="1:7" ht="15" customHeight="1" x14ac:dyDescent="0.25">
      <c r="A335" s="2" t="s">
        <v>56</v>
      </c>
      <c r="B335" s="2" t="s">
        <v>57</v>
      </c>
      <c r="C335" s="3">
        <v>635.45000000000005</v>
      </c>
      <c r="D335" s="3">
        <v>211.98</v>
      </c>
      <c r="E335" s="3">
        <v>424.17</v>
      </c>
      <c r="F335" s="3">
        <v>660</v>
      </c>
      <c r="G335" s="5">
        <v>660</v>
      </c>
    </row>
    <row r="336" spans="1:7" ht="15" customHeight="1" x14ac:dyDescent="0.25">
      <c r="A336" s="2" t="s">
        <v>58</v>
      </c>
      <c r="B336" s="2" t="s">
        <v>59</v>
      </c>
      <c r="C336" s="3">
        <v>2092.85</v>
      </c>
      <c r="D336" s="3">
        <v>776.24</v>
      </c>
      <c r="E336" s="3">
        <v>1576.24</v>
      </c>
      <c r="F336" s="3">
        <v>2500</v>
      </c>
      <c r="G336" s="5">
        <v>3000</v>
      </c>
    </row>
    <row r="337" spans="1:7" ht="15" customHeight="1" x14ac:dyDescent="0.25">
      <c r="A337" s="2" t="s">
        <v>60</v>
      </c>
      <c r="B337" s="2" t="s">
        <v>17</v>
      </c>
      <c r="C337" s="3">
        <v>0</v>
      </c>
      <c r="D337" s="3">
        <v>0</v>
      </c>
      <c r="E337" s="3">
        <v>0</v>
      </c>
      <c r="F337" s="3">
        <v>2000</v>
      </c>
      <c r="G337" s="5">
        <v>2000</v>
      </c>
    </row>
    <row r="338" spans="1:7" ht="15" customHeight="1" x14ac:dyDescent="0.25">
      <c r="A338" s="2" t="s">
        <v>61</v>
      </c>
      <c r="B338" s="2" t="s">
        <v>62</v>
      </c>
      <c r="C338" s="3">
        <v>3295.27</v>
      </c>
      <c r="D338" s="3">
        <v>1543.75</v>
      </c>
      <c r="E338" s="3">
        <v>2378.69</v>
      </c>
      <c r="F338" s="3">
        <v>3900</v>
      </c>
      <c r="G338" s="5">
        <v>4000</v>
      </c>
    </row>
    <row r="339" spans="1:7" ht="15" customHeight="1" x14ac:dyDescent="0.25">
      <c r="A339" s="2" t="s">
        <v>63</v>
      </c>
      <c r="B339" s="2" t="s">
        <v>64</v>
      </c>
      <c r="C339" s="3">
        <v>4359.79</v>
      </c>
      <c r="D339" s="3">
        <v>313.14</v>
      </c>
      <c r="E339" s="3">
        <v>1598.94</v>
      </c>
      <c r="F339" s="3">
        <v>3000</v>
      </c>
      <c r="G339" s="5">
        <v>4500</v>
      </c>
    </row>
    <row r="340" spans="1:7" ht="15" customHeight="1" x14ac:dyDescent="0.25">
      <c r="A340" s="2" t="s">
        <v>65</v>
      </c>
      <c r="B340" s="2" t="s">
        <v>66</v>
      </c>
      <c r="C340" s="3">
        <v>0</v>
      </c>
      <c r="D340" s="3">
        <v>0</v>
      </c>
      <c r="E340" s="3">
        <v>0</v>
      </c>
      <c r="F340" s="3">
        <v>3000</v>
      </c>
      <c r="G340" s="5">
        <v>4000</v>
      </c>
    </row>
    <row r="341" spans="1:7" x14ac:dyDescent="0.25">
      <c r="A341" s="2" t="s">
        <v>67</v>
      </c>
      <c r="B341" s="2" t="s">
        <v>68</v>
      </c>
      <c r="C341" s="3">
        <v>259.5</v>
      </c>
      <c r="D341" s="3">
        <v>310.72000000000003</v>
      </c>
      <c r="E341" s="3">
        <v>310.72000000000003</v>
      </c>
      <c r="F341" s="3">
        <v>1000</v>
      </c>
      <c r="G341" s="5">
        <v>1000</v>
      </c>
    </row>
    <row r="342" spans="1:7" ht="15" customHeight="1" x14ac:dyDescent="0.25">
      <c r="A342" s="2" t="s">
        <v>69</v>
      </c>
      <c r="B342" s="2" t="s">
        <v>70</v>
      </c>
      <c r="C342" s="3">
        <v>325</v>
      </c>
      <c r="D342" s="3">
        <v>400</v>
      </c>
      <c r="E342" s="3">
        <v>400</v>
      </c>
      <c r="F342" s="3">
        <v>400</v>
      </c>
      <c r="G342" s="5">
        <v>500</v>
      </c>
    </row>
    <row r="343" spans="1:7" ht="15" customHeight="1" x14ac:dyDescent="0.25">
      <c r="A343" s="2" t="s">
        <v>71</v>
      </c>
      <c r="B343" s="2" t="s">
        <v>72</v>
      </c>
      <c r="C343" s="3">
        <v>627.78</v>
      </c>
      <c r="D343" s="3">
        <v>34.82</v>
      </c>
      <c r="E343" s="3">
        <v>34.82</v>
      </c>
      <c r="F343" s="3">
        <v>1000</v>
      </c>
      <c r="G343" s="5">
        <v>1000</v>
      </c>
    </row>
    <row r="344" spans="1:7" ht="15" customHeight="1" x14ac:dyDescent="0.25">
      <c r="A344" s="1" t="s">
        <v>73</v>
      </c>
      <c r="B344" s="1" t="s">
        <v>2</v>
      </c>
      <c r="C344" s="6">
        <v>518894.42</v>
      </c>
      <c r="D344" s="6">
        <v>215911.6</v>
      </c>
      <c r="E344" s="6">
        <f>SUM(E318:E343)</f>
        <v>405437.93999999994</v>
      </c>
      <c r="F344" s="6">
        <f>SUM(F318:F343)</f>
        <v>634940.3899999999</v>
      </c>
      <c r="G344" s="6">
        <f>SUM(G318:G343)</f>
        <v>651541.28359999997</v>
      </c>
    </row>
    <row r="345" spans="1:7" x14ac:dyDescent="0.25">
      <c r="A345" s="1" t="s">
        <v>2</v>
      </c>
      <c r="B345" s="1" t="s">
        <v>2</v>
      </c>
      <c r="C345" s="1" t="s">
        <v>2</v>
      </c>
      <c r="D345" s="1" t="s">
        <v>2</v>
      </c>
      <c r="E345" s="1"/>
      <c r="F345" s="1" t="s">
        <v>2</v>
      </c>
      <c r="G345" s="1" t="s">
        <v>2</v>
      </c>
    </row>
    <row r="346" spans="1:7" x14ac:dyDescent="0.25">
      <c r="A346" s="1" t="s">
        <v>74</v>
      </c>
      <c r="B346" s="1" t="s">
        <v>2</v>
      </c>
    </row>
    <row r="347" spans="1:7" ht="15" customHeight="1" x14ac:dyDescent="0.25">
      <c r="A347" s="2" t="s">
        <v>75</v>
      </c>
      <c r="B347" s="2" t="s">
        <v>76</v>
      </c>
      <c r="C347" s="3">
        <v>144128.06</v>
      </c>
      <c r="D347" s="3">
        <v>66459.25</v>
      </c>
      <c r="E347" s="3">
        <v>115014.25</v>
      </c>
      <c r="F347" s="3">
        <v>154024.78</v>
      </c>
      <c r="G347" s="5">
        <f>F347*1.055</f>
        <v>162496.14289999998</v>
      </c>
    </row>
    <row r="348" spans="1:7" ht="15" customHeight="1" x14ac:dyDescent="0.25">
      <c r="A348" s="2" t="s">
        <v>77</v>
      </c>
      <c r="B348" s="2" t="s">
        <v>78</v>
      </c>
      <c r="C348" s="3">
        <v>29109</v>
      </c>
      <c r="D348" s="3">
        <v>14975</v>
      </c>
      <c r="E348" s="3">
        <v>25895</v>
      </c>
      <c r="F348" s="3">
        <v>32760</v>
      </c>
      <c r="G348" s="5">
        <f t="shared" ref="G348:G354" si="2">F348*1.055</f>
        <v>34561.799999999996</v>
      </c>
    </row>
    <row r="349" spans="1:7" ht="15" customHeight="1" x14ac:dyDescent="0.25">
      <c r="A349" s="2" t="s">
        <v>79</v>
      </c>
      <c r="B349" s="2" t="s">
        <v>29</v>
      </c>
      <c r="C349" s="3">
        <v>28576.01</v>
      </c>
      <c r="D349" s="3">
        <v>13769.95</v>
      </c>
      <c r="E349" s="3">
        <v>23786.23</v>
      </c>
      <c r="F349" s="3">
        <v>30409.39</v>
      </c>
      <c r="G349" s="5">
        <f t="shared" si="2"/>
        <v>32081.906449999999</v>
      </c>
    </row>
    <row r="350" spans="1:7" ht="15" customHeight="1" x14ac:dyDescent="0.25">
      <c r="A350" s="2" t="s">
        <v>80</v>
      </c>
      <c r="B350" s="2" t="s">
        <v>81</v>
      </c>
      <c r="C350" s="3">
        <v>256.43</v>
      </c>
      <c r="D350" s="3">
        <v>107.6</v>
      </c>
      <c r="E350" s="3">
        <v>184.81</v>
      </c>
      <c r="F350" s="3">
        <v>277.48</v>
      </c>
      <c r="G350" s="5">
        <f t="shared" si="2"/>
        <v>292.7414</v>
      </c>
    </row>
    <row r="351" spans="1:7" ht="15" customHeight="1" x14ac:dyDescent="0.25">
      <c r="A351" s="2" t="s">
        <v>82</v>
      </c>
      <c r="B351" s="2" t="s">
        <v>11</v>
      </c>
      <c r="C351" s="3">
        <v>13488.9</v>
      </c>
      <c r="D351" s="3">
        <v>6179.51</v>
      </c>
      <c r="E351" s="3">
        <v>10692.81</v>
      </c>
      <c r="F351" s="3">
        <v>13593.1</v>
      </c>
      <c r="G351" s="5">
        <f t="shared" si="2"/>
        <v>14340.720499999999</v>
      </c>
    </row>
    <row r="352" spans="1:7" ht="15" customHeight="1" x14ac:dyDescent="0.25">
      <c r="A352" s="2" t="s">
        <v>83</v>
      </c>
      <c r="B352" s="2" t="s">
        <v>33</v>
      </c>
      <c r="C352" s="3">
        <v>19911.939999999999</v>
      </c>
      <c r="D352" s="3">
        <v>8462.0499999999993</v>
      </c>
      <c r="E352" s="3">
        <v>14655.95</v>
      </c>
      <c r="F352" s="3">
        <v>18526.05</v>
      </c>
      <c r="G352" s="5">
        <f t="shared" si="2"/>
        <v>19544.982749999999</v>
      </c>
    </row>
    <row r="353" spans="1:8" ht="15" customHeight="1" x14ac:dyDescent="0.25">
      <c r="A353" s="2" t="s">
        <v>84</v>
      </c>
      <c r="B353" s="2" t="s">
        <v>85</v>
      </c>
      <c r="C353" s="3">
        <v>0</v>
      </c>
      <c r="D353" s="3">
        <v>0</v>
      </c>
      <c r="E353" s="3">
        <v>0</v>
      </c>
      <c r="F353" s="3">
        <v>0</v>
      </c>
      <c r="G353" s="5">
        <v>0</v>
      </c>
    </row>
    <row r="354" spans="1:8" ht="15" customHeight="1" x14ac:dyDescent="0.25">
      <c r="A354" s="2" t="s">
        <v>86</v>
      </c>
      <c r="B354" s="2" t="s">
        <v>13</v>
      </c>
      <c r="C354" s="3">
        <v>252.08</v>
      </c>
      <c r="D354" s="3">
        <v>173.91</v>
      </c>
      <c r="E354" s="3">
        <v>300.29000000000002</v>
      </c>
      <c r="F354" s="3">
        <v>274.57</v>
      </c>
      <c r="G354" s="5">
        <f t="shared" si="2"/>
        <v>289.67134999999996</v>
      </c>
    </row>
    <row r="355" spans="1:8" ht="15" customHeight="1" x14ac:dyDescent="0.25">
      <c r="A355" s="2" t="s">
        <v>87</v>
      </c>
      <c r="B355" s="2" t="s">
        <v>88</v>
      </c>
      <c r="C355" s="3">
        <v>61.61</v>
      </c>
      <c r="D355" s="3">
        <v>95.55</v>
      </c>
      <c r="E355" s="3">
        <v>95.55</v>
      </c>
      <c r="F355" s="3">
        <v>400</v>
      </c>
      <c r="G355" s="5">
        <v>400</v>
      </c>
    </row>
    <row r="356" spans="1:8" ht="15" customHeight="1" x14ac:dyDescent="0.25">
      <c r="A356" s="2" t="s">
        <v>89</v>
      </c>
      <c r="B356" s="2" t="s">
        <v>90</v>
      </c>
      <c r="C356" s="3">
        <v>0</v>
      </c>
      <c r="D356" s="3">
        <v>0</v>
      </c>
      <c r="E356" s="3">
        <v>0</v>
      </c>
      <c r="F356" s="3">
        <v>300</v>
      </c>
      <c r="G356" s="5">
        <v>300</v>
      </c>
    </row>
    <row r="357" spans="1:8" ht="15" customHeight="1" x14ac:dyDescent="0.25">
      <c r="A357" s="2" t="s">
        <v>91</v>
      </c>
      <c r="B357" s="2" t="s">
        <v>92</v>
      </c>
      <c r="C357" s="3">
        <v>0</v>
      </c>
      <c r="D357" s="3">
        <v>41.43</v>
      </c>
      <c r="E357" s="3">
        <v>41.43</v>
      </c>
      <c r="F357" s="3">
        <v>41.43</v>
      </c>
      <c r="G357" s="5">
        <v>0</v>
      </c>
    </row>
    <row r="358" spans="1:8" x14ac:dyDescent="0.25">
      <c r="A358" s="2" t="s">
        <v>93</v>
      </c>
      <c r="B358" s="2" t="s">
        <v>41</v>
      </c>
      <c r="C358" s="3">
        <v>3163.74</v>
      </c>
      <c r="D358" s="3">
        <v>6344.84</v>
      </c>
      <c r="E358" s="3">
        <v>6344.84</v>
      </c>
      <c r="F358" s="3">
        <v>6344.84</v>
      </c>
      <c r="G358" s="5">
        <v>3163.74</v>
      </c>
    </row>
    <row r="359" spans="1:8" ht="15" customHeight="1" x14ac:dyDescent="0.25">
      <c r="A359" s="2" t="s">
        <v>94</v>
      </c>
      <c r="B359" s="2" t="s">
        <v>95</v>
      </c>
      <c r="C359" s="3">
        <v>5614.96</v>
      </c>
      <c r="D359" s="3">
        <v>9301.82</v>
      </c>
      <c r="E359" s="3">
        <v>15963.05</v>
      </c>
      <c r="F359" s="3">
        <v>15000</v>
      </c>
      <c r="G359" s="5">
        <v>70000</v>
      </c>
      <c r="H359" t="s">
        <v>3403</v>
      </c>
    </row>
    <row r="360" spans="1:8" ht="15" customHeight="1" x14ac:dyDescent="0.25">
      <c r="A360" s="2" t="s">
        <v>96</v>
      </c>
      <c r="B360" s="2" t="s">
        <v>97</v>
      </c>
      <c r="C360" s="3">
        <v>25200</v>
      </c>
      <c r="D360" s="3">
        <v>8800</v>
      </c>
      <c r="E360" s="3">
        <v>17600</v>
      </c>
      <c r="F360" s="3">
        <v>25000</v>
      </c>
      <c r="G360" s="5">
        <v>85000</v>
      </c>
      <c r="H360" t="s">
        <v>3404</v>
      </c>
    </row>
    <row r="361" spans="1:8" ht="15" customHeight="1" x14ac:dyDescent="0.25">
      <c r="A361" s="2" t="s">
        <v>98</v>
      </c>
      <c r="B361" s="2" t="s">
        <v>99</v>
      </c>
      <c r="C361" s="3">
        <v>826.21</v>
      </c>
      <c r="D361" s="3">
        <v>275.48</v>
      </c>
      <c r="E361" s="3">
        <v>551.26</v>
      </c>
      <c r="F361" s="3">
        <v>900</v>
      </c>
      <c r="G361" s="5">
        <v>900</v>
      </c>
    </row>
    <row r="362" spans="1:8" ht="15" customHeight="1" x14ac:dyDescent="0.25">
      <c r="A362" s="2" t="s">
        <v>100</v>
      </c>
      <c r="B362" s="2" t="s">
        <v>17</v>
      </c>
      <c r="C362" s="3">
        <v>0</v>
      </c>
      <c r="D362" s="3">
        <v>179.47</v>
      </c>
      <c r="E362" s="3">
        <v>1760.67</v>
      </c>
      <c r="F362" s="3">
        <v>3000</v>
      </c>
      <c r="G362" s="5">
        <v>6000</v>
      </c>
      <c r="H362" t="s">
        <v>3451</v>
      </c>
    </row>
    <row r="363" spans="1:8" ht="15" customHeight="1" x14ac:dyDescent="0.25">
      <c r="A363" s="2" t="s">
        <v>101</v>
      </c>
      <c r="B363" s="2" t="s">
        <v>64</v>
      </c>
      <c r="C363" s="3">
        <v>2528.29</v>
      </c>
      <c r="D363" s="3">
        <v>0</v>
      </c>
      <c r="E363" s="3">
        <v>134.86000000000001</v>
      </c>
      <c r="F363" s="3">
        <v>1600</v>
      </c>
      <c r="G363" s="5">
        <v>1600</v>
      </c>
    </row>
    <row r="364" spans="1:8" ht="15" customHeight="1" x14ac:dyDescent="0.25">
      <c r="A364" s="2" t="s">
        <v>102</v>
      </c>
      <c r="B364" s="2" t="s">
        <v>66</v>
      </c>
      <c r="C364" s="3">
        <v>599</v>
      </c>
      <c r="D364" s="3">
        <v>136</v>
      </c>
      <c r="E364" s="3">
        <v>1511</v>
      </c>
      <c r="F364" s="3">
        <v>2500</v>
      </c>
      <c r="G364" s="5">
        <v>3000</v>
      </c>
      <c r="H364" t="s">
        <v>3450</v>
      </c>
    </row>
    <row r="365" spans="1:8" x14ac:dyDescent="0.25">
      <c r="A365" s="2" t="s">
        <v>103</v>
      </c>
      <c r="B365" s="2" t="s">
        <v>104</v>
      </c>
      <c r="C365" s="3">
        <v>0</v>
      </c>
      <c r="D365" s="3">
        <v>0</v>
      </c>
      <c r="E365" s="3">
        <v>507.45</v>
      </c>
      <c r="F365" s="3">
        <v>1200</v>
      </c>
      <c r="G365" s="5">
        <v>500</v>
      </c>
    </row>
    <row r="366" spans="1:8" ht="15" customHeight="1" x14ac:dyDescent="0.25">
      <c r="A366" s="1" t="s">
        <v>105</v>
      </c>
      <c r="B366" s="1" t="s">
        <v>2</v>
      </c>
      <c r="C366" s="6">
        <v>273716.23</v>
      </c>
      <c r="D366" s="6">
        <v>135301.85999999999</v>
      </c>
      <c r="E366" s="6">
        <f>SUM(E347:E365)</f>
        <v>235039.45</v>
      </c>
      <c r="F366" s="6">
        <f>SUM(F347:F365)</f>
        <v>306151.64</v>
      </c>
      <c r="G366" s="6">
        <f>SUM(G347:G365)</f>
        <v>434471.70535</v>
      </c>
    </row>
    <row r="367" spans="1:8" x14ac:dyDescent="0.25">
      <c r="A367" s="1" t="s">
        <v>2</v>
      </c>
      <c r="B367" s="1" t="s">
        <v>2</v>
      </c>
      <c r="C367" s="1" t="s">
        <v>2</v>
      </c>
      <c r="D367" s="1" t="s">
        <v>2</v>
      </c>
      <c r="E367" s="1"/>
      <c r="F367" s="1" t="s">
        <v>2</v>
      </c>
      <c r="G367" s="5"/>
    </row>
    <row r="368" spans="1:8" ht="15" customHeight="1" x14ac:dyDescent="0.25">
      <c r="A368" s="1" t="s">
        <v>106</v>
      </c>
      <c r="B368" s="1" t="s">
        <v>2</v>
      </c>
    </row>
    <row r="369" spans="1:7" ht="15" customHeight="1" x14ac:dyDescent="0.25">
      <c r="A369" s="2" t="s">
        <v>107</v>
      </c>
      <c r="B369" s="2" t="s">
        <v>108</v>
      </c>
      <c r="C369" s="3">
        <v>140579.64000000001</v>
      </c>
      <c r="D369" s="3">
        <v>68696.37</v>
      </c>
      <c r="E369" s="3">
        <v>106956.06</v>
      </c>
      <c r="F369" s="3">
        <v>155543.07</v>
      </c>
      <c r="G369" s="5">
        <f>F369*1.055</f>
        <v>164097.93885000001</v>
      </c>
    </row>
    <row r="370" spans="1:7" ht="15" customHeight="1" x14ac:dyDescent="0.25">
      <c r="A370" s="2" t="s">
        <v>109</v>
      </c>
      <c r="B370" s="2" t="s">
        <v>29</v>
      </c>
      <c r="C370" s="3">
        <v>40703.4</v>
      </c>
      <c r="D370" s="3">
        <v>19148.93</v>
      </c>
      <c r="E370" s="3">
        <v>29879.119999999999</v>
      </c>
      <c r="F370" s="3">
        <v>46529.84</v>
      </c>
      <c r="G370" s="5">
        <f t="shared" ref="G370:G374" si="3">F370*1.055</f>
        <v>49088.981199999995</v>
      </c>
    </row>
    <row r="371" spans="1:7" ht="15" customHeight="1" x14ac:dyDescent="0.25">
      <c r="A371" s="2" t="s">
        <v>110</v>
      </c>
      <c r="B371" s="2" t="s">
        <v>31</v>
      </c>
      <c r="C371" s="3">
        <v>529.29</v>
      </c>
      <c r="D371" s="3">
        <v>213.1</v>
      </c>
      <c r="E371" s="3">
        <v>321.74</v>
      </c>
      <c r="F371" s="3">
        <v>554.96</v>
      </c>
      <c r="G371" s="5">
        <f t="shared" si="3"/>
        <v>585.4828</v>
      </c>
    </row>
    <row r="372" spans="1:7" ht="15" customHeight="1" x14ac:dyDescent="0.25">
      <c r="A372" s="2" t="s">
        <v>111</v>
      </c>
      <c r="B372" s="2" t="s">
        <v>33</v>
      </c>
      <c r="C372" s="3">
        <v>21500.74</v>
      </c>
      <c r="D372" s="3">
        <v>9416.85</v>
      </c>
      <c r="E372" s="3">
        <v>14745.63</v>
      </c>
      <c r="F372" s="3">
        <v>20442.73</v>
      </c>
      <c r="G372" s="5">
        <f t="shared" si="3"/>
        <v>21567.080149999998</v>
      </c>
    </row>
    <row r="373" spans="1:7" x14ac:dyDescent="0.25">
      <c r="A373" s="2" t="s">
        <v>112</v>
      </c>
      <c r="B373" s="2" t="s">
        <v>113</v>
      </c>
      <c r="C373" s="3">
        <v>10724.76</v>
      </c>
      <c r="D373" s="3">
        <v>5174.9399999999996</v>
      </c>
      <c r="E373" s="3">
        <v>8399.68</v>
      </c>
      <c r="F373" s="3">
        <v>11899.04</v>
      </c>
      <c r="G373" s="5">
        <f t="shared" si="3"/>
        <v>12553.4872</v>
      </c>
    </row>
    <row r="374" spans="1:7" ht="15" customHeight="1" x14ac:dyDescent="0.25">
      <c r="A374" s="2" t="s">
        <v>114</v>
      </c>
      <c r="B374" s="2" t="s">
        <v>13</v>
      </c>
      <c r="C374" s="3">
        <v>213.37</v>
      </c>
      <c r="D374" s="3">
        <v>146.96</v>
      </c>
      <c r="E374" s="3">
        <v>238.59</v>
      </c>
      <c r="F374" s="3">
        <v>228.65</v>
      </c>
      <c r="G374" s="5">
        <f t="shared" si="3"/>
        <v>241.22575000000001</v>
      </c>
    </row>
    <row r="375" spans="1:7" ht="15" customHeight="1" x14ac:dyDescent="0.25">
      <c r="A375" s="2" t="s">
        <v>115</v>
      </c>
      <c r="B375" s="2" t="s">
        <v>37</v>
      </c>
      <c r="C375" s="3">
        <v>244.52</v>
      </c>
      <c r="D375" s="3">
        <v>138.16999999999999</v>
      </c>
      <c r="E375" s="3">
        <v>291.94</v>
      </c>
      <c r="F375" s="3">
        <v>750</v>
      </c>
      <c r="G375" s="5">
        <v>750</v>
      </c>
    </row>
    <row r="376" spans="1:7" ht="15" customHeight="1" x14ac:dyDescent="0.25">
      <c r="A376" s="2" t="s">
        <v>116</v>
      </c>
      <c r="B376" s="2" t="s">
        <v>39</v>
      </c>
      <c r="C376" s="3">
        <v>0</v>
      </c>
      <c r="D376" s="3">
        <v>0</v>
      </c>
      <c r="E376" s="3">
        <v>0</v>
      </c>
      <c r="F376" s="3">
        <v>500</v>
      </c>
      <c r="G376" s="5">
        <v>500</v>
      </c>
    </row>
    <row r="377" spans="1:7" ht="15" customHeight="1" x14ac:dyDescent="0.25">
      <c r="A377" s="2" t="s">
        <v>117</v>
      </c>
      <c r="B377" s="2" t="s">
        <v>92</v>
      </c>
      <c r="C377" s="3">
        <v>0</v>
      </c>
      <c r="D377" s="3">
        <v>0</v>
      </c>
      <c r="E377" s="3">
        <v>0</v>
      </c>
      <c r="F377" s="3">
        <v>0</v>
      </c>
      <c r="G377" s="5">
        <v>0</v>
      </c>
    </row>
    <row r="378" spans="1:7" x14ac:dyDescent="0.25">
      <c r="A378" s="2" t="s">
        <v>118</v>
      </c>
      <c r="B378" s="2" t="s">
        <v>119</v>
      </c>
      <c r="C378" s="3">
        <v>12658.64</v>
      </c>
      <c r="D378" s="3">
        <v>10252.23</v>
      </c>
      <c r="E378" s="3">
        <v>10252.23</v>
      </c>
      <c r="F378" s="3">
        <v>10252.23</v>
      </c>
      <c r="G378" s="5">
        <v>12658.64</v>
      </c>
    </row>
    <row r="379" spans="1:7" ht="15" customHeight="1" x14ac:dyDescent="0.25">
      <c r="A379" s="2" t="s">
        <v>120</v>
      </c>
      <c r="B379" s="2" t="s">
        <v>17</v>
      </c>
      <c r="C379" s="3">
        <v>551.46</v>
      </c>
      <c r="D379" s="3">
        <v>356.5</v>
      </c>
      <c r="E379" s="3">
        <v>914.88</v>
      </c>
      <c r="F379" s="3">
        <v>1200</v>
      </c>
      <c r="G379" s="5">
        <v>1500</v>
      </c>
    </row>
    <row r="380" spans="1:7" ht="15" customHeight="1" x14ac:dyDescent="0.25">
      <c r="A380" s="2" t="s">
        <v>121</v>
      </c>
      <c r="B380" s="2" t="s">
        <v>64</v>
      </c>
      <c r="C380" s="3">
        <v>791</v>
      </c>
      <c r="D380" s="3">
        <v>316</v>
      </c>
      <c r="E380" s="3">
        <v>839</v>
      </c>
      <c r="F380" s="3">
        <v>750</v>
      </c>
      <c r="G380" s="5">
        <v>750</v>
      </c>
    </row>
    <row r="381" spans="1:7" ht="15" customHeight="1" x14ac:dyDescent="0.25">
      <c r="A381" s="2" t="s">
        <v>122</v>
      </c>
      <c r="B381" s="2" t="s">
        <v>66</v>
      </c>
      <c r="C381" s="3">
        <v>985</v>
      </c>
      <c r="D381" s="3">
        <v>1541.19</v>
      </c>
      <c r="E381" s="3">
        <v>1691.19</v>
      </c>
      <c r="F381" s="3">
        <v>3000</v>
      </c>
      <c r="G381" s="5">
        <v>3000</v>
      </c>
    </row>
    <row r="382" spans="1:7" ht="15" customHeight="1" x14ac:dyDescent="0.25">
      <c r="A382" s="1" t="s">
        <v>123</v>
      </c>
      <c r="B382" s="1" t="s">
        <v>2</v>
      </c>
      <c r="C382" s="6">
        <v>229481.82</v>
      </c>
      <c r="D382" s="6">
        <v>115401.24</v>
      </c>
      <c r="E382" s="6">
        <f>SUM(E369:E381)</f>
        <v>174530.06</v>
      </c>
      <c r="F382" s="6">
        <f>SUM(F369:F381)</f>
        <v>251650.52000000002</v>
      </c>
      <c r="G382" s="6">
        <f>SUM(G369:G381)</f>
        <v>267292.83595000004</v>
      </c>
    </row>
    <row r="383" spans="1:7" x14ac:dyDescent="0.25">
      <c r="A383" s="1" t="s">
        <v>2</v>
      </c>
      <c r="B383" s="1" t="s">
        <v>2</v>
      </c>
      <c r="C383" s="1" t="s">
        <v>2</v>
      </c>
      <c r="D383" s="1" t="s">
        <v>2</v>
      </c>
      <c r="E383" s="1"/>
      <c r="F383" s="1" t="s">
        <v>2</v>
      </c>
      <c r="G383" s="1" t="s">
        <v>2</v>
      </c>
    </row>
    <row r="384" spans="1:7" ht="15" customHeight="1" x14ac:dyDescent="0.25">
      <c r="A384" s="1" t="s">
        <v>124</v>
      </c>
      <c r="B384" s="1" t="s">
        <v>2</v>
      </c>
    </row>
    <row r="385" spans="1:7" ht="15" customHeight="1" x14ac:dyDescent="0.25">
      <c r="A385" s="2" t="s">
        <v>125</v>
      </c>
      <c r="B385" s="2" t="s">
        <v>108</v>
      </c>
      <c r="C385" s="3">
        <v>306422.73</v>
      </c>
      <c r="D385" s="3">
        <v>158112.95000000001</v>
      </c>
      <c r="E385" s="3">
        <v>207165.61</v>
      </c>
      <c r="F385" s="3">
        <v>313025.73</v>
      </c>
      <c r="G385" s="5">
        <f>F385*1.055</f>
        <v>330242.14514999994</v>
      </c>
    </row>
    <row r="386" spans="1:7" ht="15" customHeight="1" x14ac:dyDescent="0.25">
      <c r="A386" s="2" t="s">
        <v>126</v>
      </c>
      <c r="B386" s="2" t="s">
        <v>29</v>
      </c>
      <c r="C386" s="3">
        <v>49038.39</v>
      </c>
      <c r="D386" s="3">
        <v>29284.7</v>
      </c>
      <c r="E386" s="3">
        <v>43857.93</v>
      </c>
      <c r="F386" s="3">
        <v>66248.53</v>
      </c>
      <c r="G386" s="5">
        <f t="shared" ref="G386:G390" si="4">F386*1.055</f>
        <v>69892.19915</v>
      </c>
    </row>
    <row r="387" spans="1:7" ht="15" customHeight="1" x14ac:dyDescent="0.25">
      <c r="A387" s="2" t="s">
        <v>127</v>
      </c>
      <c r="B387" s="2" t="s">
        <v>128</v>
      </c>
      <c r="C387" s="3">
        <v>928.95</v>
      </c>
      <c r="D387" s="3">
        <v>370.03</v>
      </c>
      <c r="E387" s="3">
        <v>508.58</v>
      </c>
      <c r="F387" s="3">
        <v>1026.68</v>
      </c>
      <c r="G387" s="5">
        <f t="shared" si="4"/>
        <v>1083.1474000000001</v>
      </c>
    </row>
    <row r="388" spans="1:7" ht="15" customHeight="1" x14ac:dyDescent="0.25">
      <c r="A388" s="2" t="s">
        <v>129</v>
      </c>
      <c r="B388" s="2" t="s">
        <v>33</v>
      </c>
      <c r="C388" s="3">
        <v>41467.99</v>
      </c>
      <c r="D388" s="3">
        <v>17349.54</v>
      </c>
      <c r="E388" s="3">
        <v>22558</v>
      </c>
      <c r="F388" s="3">
        <v>39043.050000000003</v>
      </c>
      <c r="G388" s="5">
        <f t="shared" si="4"/>
        <v>41190.417750000001</v>
      </c>
    </row>
    <row r="389" spans="1:7" x14ac:dyDescent="0.25">
      <c r="A389" s="2" t="s">
        <v>130</v>
      </c>
      <c r="B389" s="2" t="s">
        <v>113</v>
      </c>
      <c r="C389" s="3">
        <v>22752.080000000002</v>
      </c>
      <c r="D389" s="3">
        <v>11955.2</v>
      </c>
      <c r="E389" s="3">
        <v>15276.54</v>
      </c>
      <c r="F389" s="3">
        <v>23946.47</v>
      </c>
      <c r="G389" s="5">
        <f t="shared" si="4"/>
        <v>25263.525849999998</v>
      </c>
    </row>
    <row r="390" spans="1:7" ht="15" customHeight="1" x14ac:dyDescent="0.25">
      <c r="A390" s="2" t="s">
        <v>131</v>
      </c>
      <c r="B390" s="2" t="s">
        <v>13</v>
      </c>
      <c r="C390" s="3">
        <v>442.56</v>
      </c>
      <c r="D390" s="3">
        <v>339.05</v>
      </c>
      <c r="E390" s="3">
        <v>431.63</v>
      </c>
      <c r="F390" s="3">
        <v>460.15</v>
      </c>
      <c r="G390" s="5">
        <f t="shared" si="4"/>
        <v>485.45824999999996</v>
      </c>
    </row>
    <row r="391" spans="1:7" ht="15" customHeight="1" x14ac:dyDescent="0.25">
      <c r="A391" s="2" t="s">
        <v>132</v>
      </c>
      <c r="B391" s="2" t="s">
        <v>37</v>
      </c>
      <c r="C391" s="3">
        <v>4475.28</v>
      </c>
      <c r="D391" s="3">
        <v>1473.32</v>
      </c>
      <c r="E391" s="3">
        <v>1627.39</v>
      </c>
      <c r="F391" s="3">
        <v>4120</v>
      </c>
      <c r="G391" s="5">
        <v>4500</v>
      </c>
    </row>
    <row r="392" spans="1:7" ht="15" customHeight="1" x14ac:dyDescent="0.25">
      <c r="A392" s="2" t="s">
        <v>133</v>
      </c>
      <c r="B392" s="2" t="s">
        <v>39</v>
      </c>
      <c r="C392" s="3">
        <v>124.9</v>
      </c>
      <c r="D392" s="3">
        <v>0</v>
      </c>
      <c r="E392" s="3">
        <v>0</v>
      </c>
      <c r="F392" s="3">
        <v>750</v>
      </c>
      <c r="G392" s="5">
        <v>750</v>
      </c>
    </row>
    <row r="393" spans="1:7" ht="15" customHeight="1" x14ac:dyDescent="0.25">
      <c r="A393" s="2" t="s">
        <v>134</v>
      </c>
      <c r="B393" s="2" t="s">
        <v>90</v>
      </c>
      <c r="C393" s="3">
        <v>36.369999999999997</v>
      </c>
      <c r="D393" s="3">
        <v>0</v>
      </c>
      <c r="E393" s="3">
        <v>0</v>
      </c>
      <c r="F393" s="3">
        <v>750</v>
      </c>
      <c r="G393" s="5">
        <v>750</v>
      </c>
    </row>
    <row r="394" spans="1:7" x14ac:dyDescent="0.25">
      <c r="A394" s="2" t="s">
        <v>135</v>
      </c>
      <c r="B394" s="2" t="s">
        <v>136</v>
      </c>
      <c r="C394" s="3">
        <v>6583.43</v>
      </c>
      <c r="D394" s="3">
        <v>11296.11</v>
      </c>
      <c r="E394" s="3">
        <v>11296.11</v>
      </c>
      <c r="F394" s="3">
        <v>11296.11</v>
      </c>
      <c r="G394" s="5">
        <v>6583.43</v>
      </c>
    </row>
    <row r="395" spans="1:7" x14ac:dyDescent="0.25">
      <c r="A395" s="2" t="s">
        <v>3206</v>
      </c>
      <c r="B395" s="2" t="s">
        <v>3205</v>
      </c>
      <c r="C395" s="3">
        <v>0</v>
      </c>
      <c r="D395" s="3"/>
      <c r="E395" s="3">
        <v>13480</v>
      </c>
      <c r="F395" s="3"/>
      <c r="G395" s="5">
        <v>0</v>
      </c>
    </row>
    <row r="396" spans="1:7" ht="15" customHeight="1" x14ac:dyDescent="0.25">
      <c r="A396" s="2" t="s">
        <v>137</v>
      </c>
      <c r="B396" s="2" t="s">
        <v>138</v>
      </c>
      <c r="C396" s="3">
        <v>0</v>
      </c>
      <c r="D396" s="3">
        <v>8151.01</v>
      </c>
      <c r="E396" s="3">
        <v>8151.01</v>
      </c>
      <c r="F396" s="3">
        <v>0</v>
      </c>
      <c r="G396" s="5">
        <v>0</v>
      </c>
    </row>
    <row r="397" spans="1:7" ht="15" customHeight="1" x14ac:dyDescent="0.25">
      <c r="A397" s="2" t="s">
        <v>139</v>
      </c>
      <c r="B397" s="2" t="s">
        <v>99</v>
      </c>
      <c r="C397" s="3">
        <v>626.77</v>
      </c>
      <c r="D397" s="3">
        <v>209.06</v>
      </c>
      <c r="E397" s="3">
        <v>209.06</v>
      </c>
      <c r="F397" s="3">
        <v>800</v>
      </c>
      <c r="G397" s="5">
        <v>800</v>
      </c>
    </row>
    <row r="398" spans="1:7" ht="15" customHeight="1" x14ac:dyDescent="0.25">
      <c r="A398" s="2" t="s">
        <v>140</v>
      </c>
      <c r="B398" s="2" t="s">
        <v>59</v>
      </c>
      <c r="C398" s="3">
        <v>1508.97</v>
      </c>
      <c r="D398" s="3">
        <v>1457.72</v>
      </c>
      <c r="E398" s="3">
        <v>2530.64</v>
      </c>
      <c r="F398" s="3">
        <v>4000</v>
      </c>
      <c r="G398" s="5">
        <v>4000</v>
      </c>
    </row>
    <row r="399" spans="1:7" ht="15" customHeight="1" x14ac:dyDescent="0.25">
      <c r="A399" s="2" t="s">
        <v>141</v>
      </c>
      <c r="B399" s="2" t="s">
        <v>17</v>
      </c>
      <c r="C399" s="3">
        <v>0</v>
      </c>
      <c r="D399" s="3">
        <v>0</v>
      </c>
      <c r="E399" s="3">
        <v>1752.66</v>
      </c>
      <c r="F399" s="3">
        <v>4000</v>
      </c>
      <c r="G399" s="5">
        <v>4000</v>
      </c>
    </row>
    <row r="400" spans="1:7" ht="15" customHeight="1" x14ac:dyDescent="0.25">
      <c r="A400" s="2" t="s">
        <v>142</v>
      </c>
      <c r="B400" s="2" t="s">
        <v>64</v>
      </c>
      <c r="C400" s="3">
        <v>0</v>
      </c>
      <c r="D400" s="3">
        <v>183.51</v>
      </c>
      <c r="E400" s="3">
        <v>562.46</v>
      </c>
      <c r="F400" s="3">
        <v>1500</v>
      </c>
      <c r="G400" s="5">
        <v>1500</v>
      </c>
    </row>
    <row r="401" spans="1:8" ht="15" customHeight="1" x14ac:dyDescent="0.25">
      <c r="A401" s="2" t="s">
        <v>143</v>
      </c>
      <c r="B401" s="2" t="s">
        <v>144</v>
      </c>
      <c r="C401" s="3">
        <v>0</v>
      </c>
      <c r="D401" s="3">
        <v>27.75</v>
      </c>
      <c r="E401" s="3">
        <v>475.25</v>
      </c>
      <c r="F401" s="3">
        <v>0</v>
      </c>
      <c r="G401" s="5">
        <v>0</v>
      </c>
    </row>
    <row r="402" spans="1:8" ht="15" customHeight="1" x14ac:dyDescent="0.25">
      <c r="A402" s="2" t="s">
        <v>145</v>
      </c>
      <c r="B402" s="2" t="s">
        <v>66</v>
      </c>
      <c r="C402" s="3">
        <v>2287</v>
      </c>
      <c r="D402" s="3">
        <v>263</v>
      </c>
      <c r="E402" s="3">
        <v>23170.5</v>
      </c>
      <c r="F402" s="3">
        <v>5000</v>
      </c>
      <c r="G402" s="5">
        <v>7000</v>
      </c>
    </row>
    <row r="403" spans="1:8" ht="15" customHeight="1" x14ac:dyDescent="0.25">
      <c r="A403" s="2" t="s">
        <v>146</v>
      </c>
      <c r="B403" s="2" t="s">
        <v>147</v>
      </c>
      <c r="C403" s="3">
        <v>915</v>
      </c>
      <c r="D403" s="3">
        <v>455</v>
      </c>
      <c r="E403" s="3">
        <v>455</v>
      </c>
      <c r="F403" s="3">
        <v>1200</v>
      </c>
      <c r="G403" s="5">
        <v>1200</v>
      </c>
    </row>
    <row r="404" spans="1:8" ht="15" customHeight="1" x14ac:dyDescent="0.25">
      <c r="A404" s="2" t="s">
        <v>148</v>
      </c>
      <c r="B404" s="2" t="s">
        <v>149</v>
      </c>
      <c r="C404" s="3">
        <v>0</v>
      </c>
      <c r="D404" s="3">
        <v>0</v>
      </c>
      <c r="E404" s="3">
        <v>0</v>
      </c>
      <c r="F404" s="3">
        <v>0</v>
      </c>
      <c r="G404" s="5">
        <v>0</v>
      </c>
    </row>
    <row r="405" spans="1:8" ht="15" customHeight="1" x14ac:dyDescent="0.25">
      <c r="A405" s="1" t="s">
        <v>150</v>
      </c>
      <c r="B405" s="1" t="s">
        <v>2</v>
      </c>
      <c r="C405" s="6">
        <v>437610.42</v>
      </c>
      <c r="D405" s="6">
        <v>240927.95</v>
      </c>
      <c r="E405" s="6">
        <f>SUM(E385:E404)</f>
        <v>353508.37</v>
      </c>
      <c r="F405" s="6">
        <f>SUM(F385:F404)</f>
        <v>477166.72</v>
      </c>
      <c r="G405" s="6">
        <f>SUM(G385:G404)</f>
        <v>499240.32354999997</v>
      </c>
    </row>
    <row r="406" spans="1:8" x14ac:dyDescent="0.25">
      <c r="A406" s="1" t="s">
        <v>2</v>
      </c>
      <c r="B406" s="1" t="s">
        <v>2</v>
      </c>
      <c r="C406" s="1" t="s">
        <v>2</v>
      </c>
      <c r="D406" s="1" t="s">
        <v>2</v>
      </c>
      <c r="E406" s="1"/>
      <c r="F406" s="1" t="s">
        <v>2</v>
      </c>
      <c r="G406" s="1" t="s">
        <v>2</v>
      </c>
    </row>
    <row r="407" spans="1:8" ht="15" customHeight="1" x14ac:dyDescent="0.25">
      <c r="A407" s="1" t="s">
        <v>151</v>
      </c>
      <c r="B407" s="1" t="s">
        <v>2</v>
      </c>
    </row>
    <row r="408" spans="1:8" ht="15" customHeight="1" x14ac:dyDescent="0.25">
      <c r="A408" s="2" t="s">
        <v>152</v>
      </c>
      <c r="B408" s="2" t="s">
        <v>153</v>
      </c>
      <c r="C408" s="3">
        <v>4918.03</v>
      </c>
      <c r="D408" s="3">
        <v>1627.42</v>
      </c>
      <c r="E408" s="3">
        <v>5041.43</v>
      </c>
      <c r="F408" s="3">
        <v>6000</v>
      </c>
      <c r="G408" s="5">
        <v>6000</v>
      </c>
    </row>
    <row r="409" spans="1:8" ht="15" customHeight="1" x14ac:dyDescent="0.25">
      <c r="A409" s="2" t="s">
        <v>154</v>
      </c>
      <c r="B409" s="2" t="s">
        <v>108</v>
      </c>
      <c r="C409" s="3">
        <v>74360.240000000005</v>
      </c>
      <c r="D409" s="3">
        <v>38406.29</v>
      </c>
      <c r="E409" s="3">
        <v>64268.69</v>
      </c>
      <c r="F409" s="3">
        <v>81945.62</v>
      </c>
      <c r="G409" s="5">
        <f>F409*1.055</f>
        <v>86452.629099999991</v>
      </c>
    </row>
    <row r="410" spans="1:8" ht="15" customHeight="1" x14ac:dyDescent="0.25">
      <c r="A410" s="2" t="s">
        <v>155</v>
      </c>
      <c r="B410" s="2" t="s">
        <v>29</v>
      </c>
      <c r="C410" s="3">
        <v>21300.080000000002</v>
      </c>
      <c r="D410" s="3">
        <v>12679.72</v>
      </c>
      <c r="E410" s="3">
        <v>21556.68</v>
      </c>
      <c r="F410" s="3">
        <v>27053.54</v>
      </c>
      <c r="G410" s="5">
        <f t="shared" ref="G410:G414" si="5">F410*1.055</f>
        <v>28541.484700000001</v>
      </c>
    </row>
    <row r="411" spans="1:8" ht="15" customHeight="1" x14ac:dyDescent="0.25">
      <c r="A411" s="2" t="s">
        <v>156</v>
      </c>
      <c r="B411" s="2" t="s">
        <v>31</v>
      </c>
      <c r="C411" s="3">
        <v>240.05</v>
      </c>
      <c r="D411" s="3">
        <v>97.62</v>
      </c>
      <c r="E411" s="3">
        <v>173.51</v>
      </c>
      <c r="F411" s="3">
        <v>277.48</v>
      </c>
      <c r="G411" s="5">
        <f t="shared" si="5"/>
        <v>292.7414</v>
      </c>
    </row>
    <row r="412" spans="1:8" ht="15" customHeight="1" x14ac:dyDescent="0.25">
      <c r="A412" s="2" t="s">
        <v>157</v>
      </c>
      <c r="B412" s="2" t="s">
        <v>158</v>
      </c>
      <c r="C412" s="3">
        <v>11902.93</v>
      </c>
      <c r="D412" s="3">
        <v>5203.37</v>
      </c>
      <c r="E412" s="3">
        <v>9016.43</v>
      </c>
      <c r="F412" s="3">
        <v>11407.43</v>
      </c>
      <c r="G412" s="5">
        <f t="shared" si="5"/>
        <v>12034.83865</v>
      </c>
    </row>
    <row r="413" spans="1:8" x14ac:dyDescent="0.25">
      <c r="A413" s="2" t="s">
        <v>159</v>
      </c>
      <c r="B413" s="2" t="s">
        <v>113</v>
      </c>
      <c r="C413" s="3">
        <v>5614.06</v>
      </c>
      <c r="D413" s="3">
        <v>2892.3</v>
      </c>
      <c r="E413" s="3">
        <v>4838.8599999999997</v>
      </c>
      <c r="F413" s="3">
        <v>6268.84</v>
      </c>
      <c r="G413" s="5">
        <f t="shared" si="5"/>
        <v>6613.6261999999997</v>
      </c>
    </row>
    <row r="414" spans="1:8" ht="15" customHeight="1" x14ac:dyDescent="0.25">
      <c r="A414" s="2" t="s">
        <v>160</v>
      </c>
      <c r="B414" s="2" t="s">
        <v>13</v>
      </c>
      <c r="C414" s="3">
        <v>109.16</v>
      </c>
      <c r="D414" s="3">
        <v>82.3</v>
      </c>
      <c r="E414" s="3">
        <v>137.26</v>
      </c>
      <c r="F414" s="3">
        <v>120.46</v>
      </c>
      <c r="G414" s="5">
        <f t="shared" si="5"/>
        <v>127.08529999999999</v>
      </c>
    </row>
    <row r="415" spans="1:8" ht="15" customHeight="1" x14ac:dyDescent="0.25">
      <c r="A415" s="2" t="s">
        <v>161</v>
      </c>
      <c r="B415" s="2" t="s">
        <v>162</v>
      </c>
      <c r="C415" s="3">
        <v>564.12</v>
      </c>
      <c r="D415" s="3">
        <v>0</v>
      </c>
      <c r="E415" s="3">
        <v>0</v>
      </c>
      <c r="F415" s="3">
        <v>2000</v>
      </c>
      <c r="G415" s="5">
        <v>1500</v>
      </c>
      <c r="H415" t="s">
        <v>3405</v>
      </c>
    </row>
    <row r="416" spans="1:8" ht="15" customHeight="1" x14ac:dyDescent="0.25">
      <c r="A416" s="2" t="s">
        <v>163</v>
      </c>
      <c r="B416" s="2" t="s">
        <v>37</v>
      </c>
      <c r="C416" s="3">
        <v>19.57</v>
      </c>
      <c r="D416" s="3">
        <v>0</v>
      </c>
      <c r="E416" s="3">
        <v>18.489999999999998</v>
      </c>
      <c r="F416" s="3">
        <v>200</v>
      </c>
      <c r="G416" s="5">
        <v>150</v>
      </c>
    </row>
    <row r="417" spans="1:8" ht="15" customHeight="1" x14ac:dyDescent="0.25">
      <c r="A417" s="2" t="s">
        <v>164</v>
      </c>
      <c r="B417" s="2" t="s">
        <v>90</v>
      </c>
      <c r="C417" s="3">
        <v>0</v>
      </c>
      <c r="D417" s="3">
        <v>0</v>
      </c>
      <c r="E417" s="3">
        <v>0</v>
      </c>
      <c r="F417" s="3">
        <v>300</v>
      </c>
      <c r="G417" s="5">
        <v>200</v>
      </c>
      <c r="H417" t="s">
        <v>3406</v>
      </c>
    </row>
    <row r="418" spans="1:8" x14ac:dyDescent="0.25">
      <c r="A418" s="2" t="s">
        <v>165</v>
      </c>
      <c r="B418" s="2" t="s">
        <v>119</v>
      </c>
      <c r="C418" s="3">
        <v>5198.22</v>
      </c>
      <c r="D418" s="3">
        <v>5714.29</v>
      </c>
      <c r="E418" s="3">
        <v>5714.29</v>
      </c>
      <c r="F418" s="3">
        <v>5714.29</v>
      </c>
      <c r="G418" s="5">
        <v>6000</v>
      </c>
    </row>
    <row r="419" spans="1:8" ht="15" customHeight="1" x14ac:dyDescent="0.25">
      <c r="A419" s="2" t="s">
        <v>166</v>
      </c>
      <c r="B419" s="2" t="s">
        <v>144</v>
      </c>
      <c r="C419" s="3">
        <v>634.71</v>
      </c>
      <c r="D419" s="3">
        <v>89.98</v>
      </c>
      <c r="E419" s="3">
        <v>340.21</v>
      </c>
      <c r="F419" s="3">
        <v>650</v>
      </c>
      <c r="G419" s="5">
        <v>700</v>
      </c>
      <c r="H419" t="s">
        <v>3407</v>
      </c>
    </row>
    <row r="420" spans="1:8" ht="15" customHeight="1" x14ac:dyDescent="0.25">
      <c r="A420" s="2" t="s">
        <v>167</v>
      </c>
      <c r="B420" s="2" t="s">
        <v>99</v>
      </c>
      <c r="C420" s="3">
        <v>635.44000000000005</v>
      </c>
      <c r="D420" s="3">
        <v>211.98</v>
      </c>
      <c r="E420" s="3">
        <v>424.18</v>
      </c>
      <c r="F420" s="3">
        <v>700</v>
      </c>
      <c r="G420" s="5">
        <v>700</v>
      </c>
    </row>
    <row r="421" spans="1:8" ht="15" customHeight="1" x14ac:dyDescent="0.25">
      <c r="A421" s="2" t="s">
        <v>168</v>
      </c>
      <c r="B421" s="2" t="s">
        <v>17</v>
      </c>
      <c r="C421" s="3">
        <v>0</v>
      </c>
      <c r="D421" s="3">
        <v>293.35000000000002</v>
      </c>
      <c r="E421" s="3">
        <v>293.35000000000002</v>
      </c>
      <c r="F421" s="3">
        <v>750</v>
      </c>
      <c r="G421" s="5">
        <v>1350</v>
      </c>
    </row>
    <row r="422" spans="1:8" ht="15" customHeight="1" x14ac:dyDescent="0.25">
      <c r="A422" s="2" t="s">
        <v>169</v>
      </c>
      <c r="B422" s="2" t="s">
        <v>64</v>
      </c>
      <c r="C422" s="3">
        <v>82.4</v>
      </c>
      <c r="D422" s="3">
        <v>63.73</v>
      </c>
      <c r="E422" s="3">
        <v>419.18</v>
      </c>
      <c r="F422" s="3">
        <v>250</v>
      </c>
      <c r="G422" s="5">
        <v>0</v>
      </c>
    </row>
    <row r="423" spans="1:8" ht="15" customHeight="1" x14ac:dyDescent="0.25">
      <c r="A423" s="2" t="s">
        <v>170</v>
      </c>
      <c r="B423" s="2" t="s">
        <v>66</v>
      </c>
      <c r="C423" s="3">
        <v>231.08</v>
      </c>
      <c r="D423" s="3">
        <v>410</v>
      </c>
      <c r="E423" s="3">
        <v>410</v>
      </c>
      <c r="F423" s="3">
        <v>450</v>
      </c>
      <c r="G423" s="5">
        <v>600</v>
      </c>
    </row>
    <row r="424" spans="1:8" ht="15" customHeight="1" x14ac:dyDescent="0.25">
      <c r="A424" s="1" t="s">
        <v>171</v>
      </c>
      <c r="B424" s="1" t="s">
        <v>2</v>
      </c>
      <c r="C424" s="6">
        <v>125810.09</v>
      </c>
      <c r="D424" s="6">
        <v>67772.350000000006</v>
      </c>
      <c r="E424" s="6">
        <f>SUM(E408:E423)</f>
        <v>112652.55999999998</v>
      </c>
      <c r="F424" s="6">
        <f>SUM(F408:F423)</f>
        <v>144087.66</v>
      </c>
      <c r="G424" s="6">
        <f>SUM(G408:G423)</f>
        <v>151262.40534999999</v>
      </c>
    </row>
    <row r="425" spans="1:8" x14ac:dyDescent="0.25">
      <c r="A425" s="1" t="s">
        <v>2</v>
      </c>
      <c r="B425" s="1" t="s">
        <v>2</v>
      </c>
      <c r="C425" s="1" t="s">
        <v>2</v>
      </c>
      <c r="D425" s="1" t="s">
        <v>2</v>
      </c>
      <c r="E425" s="1"/>
      <c r="F425" s="1" t="s">
        <v>2</v>
      </c>
      <c r="G425" s="1" t="s">
        <v>2</v>
      </c>
    </row>
    <row r="426" spans="1:8" x14ac:dyDescent="0.25">
      <c r="A426" s="1" t="s">
        <v>172</v>
      </c>
      <c r="B426" s="1" t="s">
        <v>2</v>
      </c>
    </row>
    <row r="427" spans="1:8" ht="15" customHeight="1" x14ac:dyDescent="0.25">
      <c r="A427" s="2" t="s">
        <v>173</v>
      </c>
      <c r="B427" s="2" t="s">
        <v>174</v>
      </c>
      <c r="C427" s="3">
        <v>0</v>
      </c>
      <c r="D427" s="3">
        <v>0</v>
      </c>
      <c r="E427" s="3">
        <v>0</v>
      </c>
      <c r="F427" s="3">
        <v>0</v>
      </c>
      <c r="G427" s="5">
        <v>0</v>
      </c>
    </row>
    <row r="428" spans="1:8" ht="15" customHeight="1" x14ac:dyDescent="0.25">
      <c r="A428" s="2" t="s">
        <v>175</v>
      </c>
      <c r="B428" s="2" t="s">
        <v>176</v>
      </c>
      <c r="C428" s="3">
        <v>86113.74</v>
      </c>
      <c r="D428" s="3">
        <v>33953.050000000003</v>
      </c>
      <c r="E428" s="3">
        <v>62217.8</v>
      </c>
      <c r="F428" s="3">
        <v>100000</v>
      </c>
      <c r="G428" s="5">
        <v>100000</v>
      </c>
    </row>
    <row r="429" spans="1:8" ht="15" customHeight="1" x14ac:dyDescent="0.25">
      <c r="A429" s="2" t="s">
        <v>177</v>
      </c>
      <c r="B429" s="2" t="s">
        <v>178</v>
      </c>
      <c r="C429" s="3">
        <v>18014.25</v>
      </c>
      <c r="D429" s="3">
        <v>7166.25</v>
      </c>
      <c r="E429" s="3">
        <v>8305.5</v>
      </c>
      <c r="F429" s="3">
        <v>0</v>
      </c>
      <c r="G429" s="5">
        <v>0</v>
      </c>
    </row>
    <row r="430" spans="1:8" ht="15" customHeight="1" x14ac:dyDescent="0.25">
      <c r="A430" s="2" t="s">
        <v>179</v>
      </c>
      <c r="B430" s="2" t="s">
        <v>180</v>
      </c>
      <c r="C430" s="3">
        <v>6444.59</v>
      </c>
      <c r="D430" s="3">
        <v>0</v>
      </c>
      <c r="E430" s="3">
        <v>4015</v>
      </c>
      <c r="F430" s="3">
        <v>10000</v>
      </c>
      <c r="G430" s="5">
        <v>10000</v>
      </c>
    </row>
    <row r="431" spans="1:8" ht="15" customHeight="1" x14ac:dyDescent="0.25">
      <c r="A431" s="1" t="s">
        <v>181</v>
      </c>
      <c r="B431" s="1" t="s">
        <v>2</v>
      </c>
      <c r="C431" s="6">
        <v>110572.58</v>
      </c>
      <c r="D431" s="6">
        <v>41119.300000000003</v>
      </c>
      <c r="E431" s="6">
        <f>SUM(E427:E430)</f>
        <v>74538.3</v>
      </c>
      <c r="F431" s="6">
        <f>SUM(F427:F430)</f>
        <v>110000</v>
      </c>
      <c r="G431" s="6">
        <f>SUM(G427:G430)</f>
        <v>110000</v>
      </c>
    </row>
    <row r="432" spans="1:8" x14ac:dyDescent="0.25">
      <c r="A432" s="1" t="s">
        <v>2</v>
      </c>
      <c r="B432" s="1" t="s">
        <v>2</v>
      </c>
      <c r="C432" s="1" t="s">
        <v>2</v>
      </c>
      <c r="D432" s="1" t="s">
        <v>2</v>
      </c>
      <c r="E432" s="1"/>
      <c r="F432" s="1" t="s">
        <v>2</v>
      </c>
      <c r="G432" s="1" t="s">
        <v>2</v>
      </c>
    </row>
    <row r="433" spans="1:7" ht="15" customHeight="1" x14ac:dyDescent="0.25">
      <c r="A433" s="1" t="s">
        <v>182</v>
      </c>
      <c r="B433" s="1" t="s">
        <v>2</v>
      </c>
    </row>
    <row r="434" spans="1:7" ht="15" customHeight="1" x14ac:dyDescent="0.25">
      <c r="A434" s="2" t="s">
        <v>183</v>
      </c>
      <c r="B434" s="2" t="s">
        <v>184</v>
      </c>
      <c r="C434" s="3">
        <v>33264.300000000003</v>
      </c>
      <c r="D434" s="3">
        <v>0</v>
      </c>
      <c r="E434" s="3">
        <v>0</v>
      </c>
      <c r="F434" s="3">
        <v>30000</v>
      </c>
      <c r="G434" s="5">
        <v>30000</v>
      </c>
    </row>
    <row r="435" spans="1:7" x14ac:dyDescent="0.25">
      <c r="A435" s="2" t="s">
        <v>185</v>
      </c>
      <c r="B435" s="2" t="s">
        <v>186</v>
      </c>
      <c r="C435" s="3">
        <v>5213.09</v>
      </c>
      <c r="D435" s="3">
        <v>0</v>
      </c>
      <c r="E435" s="3">
        <v>0</v>
      </c>
      <c r="F435" s="3">
        <v>20000</v>
      </c>
      <c r="G435" s="5">
        <v>20000</v>
      </c>
    </row>
    <row r="436" spans="1:7" ht="15" customHeight="1" x14ac:dyDescent="0.25">
      <c r="A436" s="2" t="s">
        <v>187</v>
      </c>
      <c r="B436" s="2" t="s">
        <v>188</v>
      </c>
      <c r="C436" s="3">
        <v>366941</v>
      </c>
      <c r="D436" s="3">
        <v>412755</v>
      </c>
      <c r="E436" s="3">
        <v>412755</v>
      </c>
      <c r="F436" s="3">
        <v>433514.7</v>
      </c>
      <c r="G436" s="5">
        <v>450000</v>
      </c>
    </row>
    <row r="437" spans="1:7" ht="15" customHeight="1" x14ac:dyDescent="0.25">
      <c r="A437" s="2" t="s">
        <v>189</v>
      </c>
      <c r="B437" s="2" t="s">
        <v>190</v>
      </c>
      <c r="C437" s="3">
        <v>0</v>
      </c>
      <c r="D437" s="3">
        <v>0</v>
      </c>
      <c r="E437" s="3">
        <v>0</v>
      </c>
      <c r="F437" s="3">
        <v>10000</v>
      </c>
      <c r="G437" s="5">
        <v>10000</v>
      </c>
    </row>
    <row r="438" spans="1:7" ht="15" customHeight="1" x14ac:dyDescent="0.25">
      <c r="A438" s="2" t="s">
        <v>191</v>
      </c>
      <c r="B438" s="2" t="s">
        <v>192</v>
      </c>
      <c r="C438" s="3">
        <v>-75387.66</v>
      </c>
      <c r="D438" s="3">
        <v>0</v>
      </c>
      <c r="E438" s="3">
        <v>0</v>
      </c>
      <c r="F438" s="3">
        <v>-108378.67</v>
      </c>
      <c r="G438" s="5">
        <f>-G2598</f>
        <v>-110000</v>
      </c>
    </row>
    <row r="439" spans="1:7" ht="15" customHeight="1" x14ac:dyDescent="0.25">
      <c r="A439" s="2" t="s">
        <v>193</v>
      </c>
      <c r="B439" s="2" t="s">
        <v>194</v>
      </c>
      <c r="C439" s="3">
        <v>0</v>
      </c>
      <c r="D439" s="3">
        <v>0</v>
      </c>
      <c r="E439" s="3">
        <v>0</v>
      </c>
      <c r="F439" s="3">
        <v>0</v>
      </c>
      <c r="G439" s="5">
        <v>0</v>
      </c>
    </row>
    <row r="440" spans="1:7" ht="15" customHeight="1" x14ac:dyDescent="0.25">
      <c r="A440" s="2" t="s">
        <v>195</v>
      </c>
      <c r="B440" s="2" t="s">
        <v>196</v>
      </c>
      <c r="C440" s="3">
        <v>1876.67</v>
      </c>
      <c r="D440" s="3">
        <v>1604.1</v>
      </c>
      <c r="E440" s="3">
        <v>1824.27</v>
      </c>
      <c r="F440" s="3">
        <v>3000</v>
      </c>
      <c r="G440" s="5">
        <v>3000</v>
      </c>
    </row>
    <row r="441" spans="1:7" ht="15" customHeight="1" x14ac:dyDescent="0.25">
      <c r="A441" s="2" t="s">
        <v>197</v>
      </c>
      <c r="B441" s="2" t="s">
        <v>198</v>
      </c>
      <c r="C441" s="3">
        <v>8001.59</v>
      </c>
      <c r="D441" s="3">
        <v>8859.9699999999993</v>
      </c>
      <c r="E441" s="3">
        <v>8859.9699999999993</v>
      </c>
      <c r="F441" s="3">
        <v>8859.9699999999993</v>
      </c>
      <c r="G441" s="5">
        <v>9500</v>
      </c>
    </row>
    <row r="442" spans="1:7" ht="15" customHeight="1" x14ac:dyDescent="0.25">
      <c r="A442" s="2" t="s">
        <v>199</v>
      </c>
      <c r="B442" s="2" t="s">
        <v>92</v>
      </c>
      <c r="C442" s="3">
        <v>9393.91</v>
      </c>
      <c r="D442" s="3">
        <v>11703.78</v>
      </c>
      <c r="E442" s="3">
        <v>11703.78</v>
      </c>
      <c r="F442" s="3">
        <v>11703.78</v>
      </c>
      <c r="G442" s="59">
        <v>0</v>
      </c>
    </row>
    <row r="443" spans="1:7" ht="15" customHeight="1" x14ac:dyDescent="0.25">
      <c r="A443" s="2" t="s">
        <v>200</v>
      </c>
      <c r="B443" s="2" t="s">
        <v>95</v>
      </c>
      <c r="C443" s="3">
        <v>21821.69</v>
      </c>
      <c r="D443" s="3">
        <v>5350</v>
      </c>
      <c r="E443" s="3">
        <v>5350</v>
      </c>
      <c r="F443" s="3">
        <v>8000</v>
      </c>
      <c r="G443" s="5">
        <v>8000</v>
      </c>
    </row>
    <row r="444" spans="1:7" ht="15" customHeight="1" x14ac:dyDescent="0.25">
      <c r="A444" s="2" t="s">
        <v>201</v>
      </c>
      <c r="B444" s="2" t="s">
        <v>202</v>
      </c>
      <c r="C444" s="3">
        <v>7095.49</v>
      </c>
      <c r="D444" s="3">
        <v>0</v>
      </c>
      <c r="E444" s="3">
        <v>3564.83</v>
      </c>
      <c r="F444" s="3">
        <v>6000</v>
      </c>
      <c r="G444" s="5">
        <v>6000</v>
      </c>
    </row>
    <row r="445" spans="1:7" ht="15" customHeight="1" x14ac:dyDescent="0.25">
      <c r="A445" s="2" t="s">
        <v>203</v>
      </c>
      <c r="B445" s="2" t="s">
        <v>204</v>
      </c>
      <c r="C445" s="3">
        <v>4863.3</v>
      </c>
      <c r="D445" s="3">
        <v>5398.65</v>
      </c>
      <c r="E445" s="3">
        <v>5398.65</v>
      </c>
      <c r="F445" s="3">
        <v>40000</v>
      </c>
      <c r="G445" s="5">
        <v>40000</v>
      </c>
    </row>
    <row r="446" spans="1:7" ht="15" customHeight="1" x14ac:dyDescent="0.25">
      <c r="A446" s="2" t="s">
        <v>205</v>
      </c>
      <c r="B446" s="2" t="s">
        <v>57</v>
      </c>
      <c r="C446" s="3">
        <v>6627.73</v>
      </c>
      <c r="D446" s="3">
        <v>1973.79</v>
      </c>
      <c r="E446" s="3">
        <v>7264.17</v>
      </c>
      <c r="F446" s="3">
        <v>5500</v>
      </c>
      <c r="G446" s="5">
        <v>5500</v>
      </c>
    </row>
    <row r="447" spans="1:7" ht="15" customHeight="1" x14ac:dyDescent="0.25">
      <c r="A447" s="2" t="s">
        <v>206</v>
      </c>
      <c r="B447" s="2" t="s">
        <v>144</v>
      </c>
      <c r="C447" s="3">
        <v>0</v>
      </c>
      <c r="D447" s="3">
        <v>0</v>
      </c>
      <c r="E447" s="3">
        <v>250</v>
      </c>
      <c r="F447" s="3">
        <v>1000</v>
      </c>
      <c r="G447" s="5">
        <v>1000</v>
      </c>
    </row>
    <row r="448" spans="1:7" ht="15" customHeight="1" x14ac:dyDescent="0.25">
      <c r="A448" s="2" t="s">
        <v>207</v>
      </c>
      <c r="B448" s="2" t="s">
        <v>208</v>
      </c>
      <c r="C448" s="3">
        <v>8108.12</v>
      </c>
      <c r="D448" s="3">
        <v>3380.19</v>
      </c>
      <c r="E448" s="3">
        <v>6084.37</v>
      </c>
      <c r="F448" s="3">
        <v>9000</v>
      </c>
      <c r="G448" s="5">
        <v>9000</v>
      </c>
    </row>
    <row r="449" spans="1:7" ht="15" customHeight="1" x14ac:dyDescent="0.25">
      <c r="A449" s="2" t="s">
        <v>209</v>
      </c>
      <c r="B449" s="2" t="s">
        <v>210</v>
      </c>
      <c r="C449" s="3">
        <v>3588.76</v>
      </c>
      <c r="D449" s="3">
        <v>1795.22</v>
      </c>
      <c r="E449" s="3">
        <v>2935.68</v>
      </c>
      <c r="F449" s="3">
        <v>4000</v>
      </c>
      <c r="G449" s="5">
        <v>4000</v>
      </c>
    </row>
    <row r="450" spans="1:7" ht="15" customHeight="1" x14ac:dyDescent="0.25">
      <c r="A450" s="2" t="s">
        <v>211</v>
      </c>
      <c r="B450" s="2" t="s">
        <v>62</v>
      </c>
      <c r="C450" s="3">
        <v>2864.69</v>
      </c>
      <c r="D450" s="3">
        <v>2062.59</v>
      </c>
      <c r="E450" s="3">
        <v>2993</v>
      </c>
      <c r="F450" s="3">
        <v>2800</v>
      </c>
      <c r="G450" s="5">
        <v>2800</v>
      </c>
    </row>
    <row r="451" spans="1:7" ht="15" customHeight="1" x14ac:dyDescent="0.25">
      <c r="A451" s="2" t="s">
        <v>212</v>
      </c>
      <c r="B451" s="2" t="s">
        <v>213</v>
      </c>
      <c r="C451" s="3">
        <v>4077.04</v>
      </c>
      <c r="D451" s="3">
        <v>3028.98</v>
      </c>
      <c r="E451" s="3">
        <v>3425.93</v>
      </c>
      <c r="F451" s="3">
        <v>4000</v>
      </c>
      <c r="G451" s="5">
        <v>4000</v>
      </c>
    </row>
    <row r="452" spans="1:7" ht="15" customHeight="1" x14ac:dyDescent="0.25">
      <c r="A452" s="2" t="s">
        <v>214</v>
      </c>
      <c r="B452" s="2" t="s">
        <v>215</v>
      </c>
      <c r="C452" s="3">
        <v>12006.41</v>
      </c>
      <c r="D452" s="3">
        <v>3881.7</v>
      </c>
      <c r="E452" s="3">
        <v>8630.68</v>
      </c>
      <c r="F452" s="3">
        <v>15500</v>
      </c>
      <c r="G452" s="5">
        <v>15500</v>
      </c>
    </row>
    <row r="453" spans="1:7" ht="15" customHeight="1" x14ac:dyDescent="0.25">
      <c r="A453" s="2" t="s">
        <v>216</v>
      </c>
      <c r="B453" s="2" t="s">
        <v>217</v>
      </c>
      <c r="C453" s="3">
        <v>2997</v>
      </c>
      <c r="D453" s="3">
        <v>1295.6600000000001</v>
      </c>
      <c r="E453" s="3">
        <v>2160.1799999999998</v>
      </c>
      <c r="F453" s="3">
        <v>3500</v>
      </c>
      <c r="G453" s="5">
        <v>3500</v>
      </c>
    </row>
    <row r="454" spans="1:7" ht="15" customHeight="1" x14ac:dyDescent="0.25">
      <c r="A454" s="2" t="s">
        <v>218</v>
      </c>
      <c r="B454" s="2" t="s">
        <v>219</v>
      </c>
      <c r="C454" s="3">
        <v>8149.89</v>
      </c>
      <c r="D454" s="3">
        <v>0</v>
      </c>
      <c r="E454" s="3">
        <v>0</v>
      </c>
      <c r="F454" s="3">
        <v>1500</v>
      </c>
      <c r="G454" s="5">
        <v>1500</v>
      </c>
    </row>
    <row r="455" spans="1:7" ht="15" customHeight="1" x14ac:dyDescent="0.25">
      <c r="A455" s="2" t="s">
        <v>220</v>
      </c>
      <c r="B455" s="2" t="s">
        <v>221</v>
      </c>
      <c r="C455" s="3">
        <v>15391.55</v>
      </c>
      <c r="D455" s="3">
        <v>3026.19</v>
      </c>
      <c r="E455" s="3">
        <v>7399.47</v>
      </c>
      <c r="F455" s="3">
        <v>10000</v>
      </c>
      <c r="G455" s="5">
        <v>10000</v>
      </c>
    </row>
    <row r="456" spans="1:7" ht="15" customHeight="1" x14ac:dyDescent="0.25">
      <c r="A456" s="2" t="s">
        <v>222</v>
      </c>
      <c r="B456" s="2" t="s">
        <v>223</v>
      </c>
      <c r="C456" s="3">
        <v>3000</v>
      </c>
      <c r="D456" s="3">
        <v>3000</v>
      </c>
      <c r="E456" s="3">
        <v>3000</v>
      </c>
      <c r="F456" s="3">
        <v>3000</v>
      </c>
      <c r="G456" s="5">
        <v>3000</v>
      </c>
    </row>
    <row r="457" spans="1:7" x14ac:dyDescent="0.25">
      <c r="A457" s="2" t="s">
        <v>224</v>
      </c>
      <c r="B457" s="2" t="s">
        <v>225</v>
      </c>
      <c r="C457" s="3">
        <v>0</v>
      </c>
      <c r="D457" s="3">
        <v>0</v>
      </c>
      <c r="E457" s="3">
        <v>0</v>
      </c>
      <c r="F457" s="3">
        <v>0</v>
      </c>
      <c r="G457" s="5">
        <v>0</v>
      </c>
    </row>
    <row r="458" spans="1:7" ht="15" customHeight="1" x14ac:dyDescent="0.25">
      <c r="A458" s="2" t="s">
        <v>226</v>
      </c>
      <c r="B458" s="2" t="s">
        <v>227</v>
      </c>
      <c r="C458" s="3">
        <v>8000</v>
      </c>
      <c r="D458" s="3">
        <v>10000</v>
      </c>
      <c r="E458" s="3">
        <v>10000</v>
      </c>
      <c r="F458" s="3">
        <v>10000</v>
      </c>
      <c r="G458" s="5">
        <v>10000</v>
      </c>
    </row>
    <row r="459" spans="1:7" ht="15" customHeight="1" x14ac:dyDescent="0.25">
      <c r="A459" s="2" t="s">
        <v>228</v>
      </c>
      <c r="B459" s="2" t="s">
        <v>229</v>
      </c>
      <c r="C459" s="3">
        <v>0</v>
      </c>
      <c r="D459" s="3">
        <v>0</v>
      </c>
      <c r="E459" s="3">
        <v>0</v>
      </c>
      <c r="F459" s="3">
        <v>0</v>
      </c>
      <c r="G459" s="5">
        <v>0</v>
      </c>
    </row>
    <row r="460" spans="1:7" x14ac:dyDescent="0.25">
      <c r="A460" s="2" t="s">
        <v>230</v>
      </c>
      <c r="B460" s="2" t="s">
        <v>231</v>
      </c>
      <c r="C460" s="3">
        <v>19976.41</v>
      </c>
      <c r="D460" s="3">
        <v>0</v>
      </c>
      <c r="E460" s="3">
        <v>0</v>
      </c>
      <c r="F460" s="3">
        <v>30000</v>
      </c>
      <c r="G460" s="5">
        <v>30000</v>
      </c>
    </row>
    <row r="461" spans="1:7" ht="15" customHeight="1" x14ac:dyDescent="0.25">
      <c r="A461" s="2" t="s">
        <v>232</v>
      </c>
      <c r="B461" s="2" t="s">
        <v>233</v>
      </c>
      <c r="C461" s="3">
        <v>355.84</v>
      </c>
      <c r="D461" s="3">
        <v>152.63999999999999</v>
      </c>
      <c r="E461" s="3">
        <v>526.94000000000005</v>
      </c>
      <c r="F461" s="3">
        <v>1000</v>
      </c>
      <c r="G461" s="5">
        <v>1000</v>
      </c>
    </row>
    <row r="462" spans="1:7" ht="15" customHeight="1" x14ac:dyDescent="0.25">
      <c r="A462" s="2" t="s">
        <v>234</v>
      </c>
      <c r="B462" s="2" t="s">
        <v>235</v>
      </c>
      <c r="C462" s="3">
        <v>8752</v>
      </c>
      <c r="D462" s="3">
        <v>9887</v>
      </c>
      <c r="E462" s="3">
        <v>13637</v>
      </c>
      <c r="F462" s="3">
        <v>9605</v>
      </c>
      <c r="G462" s="5">
        <v>10200</v>
      </c>
    </row>
    <row r="463" spans="1:7" ht="15" customHeight="1" x14ac:dyDescent="0.25">
      <c r="A463" s="2" t="s">
        <v>236</v>
      </c>
      <c r="B463" s="2" t="s">
        <v>237</v>
      </c>
      <c r="C463" s="3">
        <v>10749</v>
      </c>
      <c r="D463" s="3">
        <v>11470</v>
      </c>
      <c r="E463" s="3">
        <v>11470</v>
      </c>
      <c r="F463" s="3">
        <v>11787</v>
      </c>
      <c r="G463" s="5">
        <v>11787</v>
      </c>
    </row>
    <row r="464" spans="1:7" ht="15" customHeight="1" x14ac:dyDescent="0.25">
      <c r="A464" s="2" t="s">
        <v>238</v>
      </c>
      <c r="B464" s="2" t="s">
        <v>239</v>
      </c>
      <c r="C464" s="3">
        <v>1098.0899999999999</v>
      </c>
      <c r="D464" s="3">
        <v>1097.68</v>
      </c>
      <c r="E464" s="3">
        <v>1097.68</v>
      </c>
      <c r="F464" s="3">
        <v>1100</v>
      </c>
      <c r="G464" s="5">
        <v>1100</v>
      </c>
    </row>
    <row r="465" spans="1:7" ht="15" customHeight="1" x14ac:dyDescent="0.25">
      <c r="A465" s="2" t="s">
        <v>240</v>
      </c>
      <c r="B465" s="2" t="s">
        <v>241</v>
      </c>
      <c r="C465" s="3">
        <v>100</v>
      </c>
      <c r="D465" s="3">
        <v>0</v>
      </c>
      <c r="E465" s="3">
        <v>0</v>
      </c>
      <c r="F465" s="3">
        <v>150</v>
      </c>
      <c r="G465" s="5">
        <v>150</v>
      </c>
    </row>
    <row r="466" spans="1:7" ht="15" customHeight="1" x14ac:dyDescent="0.25">
      <c r="A466" s="2" t="s">
        <v>242</v>
      </c>
      <c r="B466" s="2" t="s">
        <v>243</v>
      </c>
      <c r="C466" s="3">
        <v>4000</v>
      </c>
      <c r="D466" s="3">
        <v>4000</v>
      </c>
      <c r="E466" s="3">
        <v>4000</v>
      </c>
      <c r="F466" s="3">
        <v>4000</v>
      </c>
      <c r="G466" s="55">
        <v>4000</v>
      </c>
    </row>
    <row r="467" spans="1:7" x14ac:dyDescent="0.25">
      <c r="A467" s="2" t="s">
        <v>244</v>
      </c>
      <c r="B467" s="2" t="s">
        <v>245</v>
      </c>
      <c r="C467" s="3">
        <v>15022.46</v>
      </c>
      <c r="D467" s="3">
        <v>1425.22</v>
      </c>
      <c r="E467" s="3">
        <v>11485.38</v>
      </c>
      <c r="F467" s="3">
        <v>30000</v>
      </c>
      <c r="G467" s="55">
        <v>30000</v>
      </c>
    </row>
    <row r="468" spans="1:7" ht="15" customHeight="1" x14ac:dyDescent="0.25">
      <c r="A468" s="2" t="s">
        <v>246</v>
      </c>
      <c r="B468" s="2" t="s">
        <v>247</v>
      </c>
      <c r="C468" s="3">
        <v>32570</v>
      </c>
      <c r="D468" s="3">
        <v>8105</v>
      </c>
      <c r="E468" s="3">
        <v>8105</v>
      </c>
      <c r="F468" s="3">
        <v>34000</v>
      </c>
      <c r="G468" s="55">
        <v>34000</v>
      </c>
    </row>
    <row r="469" spans="1:7" ht="15" customHeight="1" x14ac:dyDescent="0.25">
      <c r="A469" s="2" t="s">
        <v>248</v>
      </c>
      <c r="B469" s="2" t="s">
        <v>249</v>
      </c>
      <c r="C469" s="3">
        <v>5000</v>
      </c>
      <c r="D469" s="3">
        <v>10000</v>
      </c>
      <c r="E469" s="3">
        <v>10000</v>
      </c>
      <c r="F469" s="3">
        <v>10000</v>
      </c>
      <c r="G469" s="55">
        <v>10000</v>
      </c>
    </row>
    <row r="470" spans="1:7" x14ac:dyDescent="0.25">
      <c r="A470" s="2" t="s">
        <v>250</v>
      </c>
      <c r="B470" s="2" t="s">
        <v>251</v>
      </c>
      <c r="C470" s="3">
        <v>1080</v>
      </c>
      <c r="D470" s="3">
        <v>2000</v>
      </c>
      <c r="E470" s="3">
        <v>2291.59</v>
      </c>
      <c r="F470" s="3">
        <v>2000</v>
      </c>
      <c r="G470" s="55">
        <v>2000</v>
      </c>
    </row>
    <row r="471" spans="1:7" ht="15" customHeight="1" x14ac:dyDescent="0.25">
      <c r="A471" s="2" t="s">
        <v>252</v>
      </c>
      <c r="B471" s="2" t="s">
        <v>253</v>
      </c>
      <c r="C471" s="3">
        <v>0</v>
      </c>
      <c r="D471" s="3">
        <v>3000</v>
      </c>
      <c r="E471" s="3">
        <v>3000</v>
      </c>
      <c r="F471" s="3">
        <v>3000</v>
      </c>
      <c r="G471" s="55">
        <v>3000</v>
      </c>
    </row>
    <row r="472" spans="1:7" x14ac:dyDescent="0.25">
      <c r="A472" s="2" t="s">
        <v>254</v>
      </c>
      <c r="B472" s="2" t="s">
        <v>255</v>
      </c>
      <c r="C472" s="3">
        <v>2500</v>
      </c>
      <c r="D472" s="3">
        <v>2500</v>
      </c>
      <c r="E472" s="3">
        <v>2500</v>
      </c>
      <c r="F472" s="3">
        <v>2500</v>
      </c>
      <c r="G472" s="55">
        <v>2500</v>
      </c>
    </row>
    <row r="473" spans="1:7" ht="15" customHeight="1" x14ac:dyDescent="0.25">
      <c r="A473" s="2" t="s">
        <v>256</v>
      </c>
      <c r="B473" s="2" t="s">
        <v>257</v>
      </c>
      <c r="C473" s="3">
        <v>1000</v>
      </c>
      <c r="D473" s="3">
        <v>2000</v>
      </c>
      <c r="E473" s="3">
        <v>3000</v>
      </c>
      <c r="F473" s="3">
        <v>2000</v>
      </c>
      <c r="G473" s="55">
        <v>2000</v>
      </c>
    </row>
    <row r="474" spans="1:7" ht="15" customHeight="1" x14ac:dyDescent="0.25">
      <c r="A474" s="2" t="s">
        <v>258</v>
      </c>
      <c r="B474" s="2" t="s">
        <v>259</v>
      </c>
      <c r="C474" s="3">
        <v>5000</v>
      </c>
      <c r="D474" s="3">
        <v>6329</v>
      </c>
      <c r="E474" s="3">
        <v>6329</v>
      </c>
      <c r="F474" s="3">
        <v>6329</v>
      </c>
      <c r="G474" s="55">
        <v>6329</v>
      </c>
    </row>
    <row r="475" spans="1:7" ht="15" customHeight="1" x14ac:dyDescent="0.25">
      <c r="A475" s="2" t="s">
        <v>260</v>
      </c>
      <c r="B475" s="2" t="s">
        <v>261</v>
      </c>
      <c r="C475" s="3">
        <v>0</v>
      </c>
      <c r="D475" s="3">
        <v>5000</v>
      </c>
      <c r="E475" s="3">
        <v>5000</v>
      </c>
      <c r="F475" s="3">
        <v>5000</v>
      </c>
      <c r="G475" s="55">
        <v>5000</v>
      </c>
    </row>
    <row r="476" spans="1:7" x14ac:dyDescent="0.25">
      <c r="A476" s="2" t="s">
        <v>262</v>
      </c>
      <c r="B476" s="2" t="s">
        <v>263</v>
      </c>
      <c r="C476" s="3">
        <v>0</v>
      </c>
      <c r="D476" s="3">
        <v>3140</v>
      </c>
      <c r="E476" s="3">
        <v>3140</v>
      </c>
      <c r="F476" s="3">
        <v>3140</v>
      </c>
      <c r="G476" s="55">
        <v>3140</v>
      </c>
    </row>
    <row r="477" spans="1:7" x14ac:dyDescent="0.25">
      <c r="A477" s="2" t="s">
        <v>264</v>
      </c>
      <c r="B477" s="2" t="s">
        <v>265</v>
      </c>
      <c r="C477" s="3">
        <v>73564.679999999993</v>
      </c>
      <c r="D477" s="3">
        <v>25280.639999999999</v>
      </c>
      <c r="E477" s="3">
        <v>50561.279999999999</v>
      </c>
      <c r="F477" s="3">
        <v>76000</v>
      </c>
      <c r="G477" s="55">
        <f>F477*1.1</f>
        <v>83600</v>
      </c>
    </row>
    <row r="478" spans="1:7" ht="15" customHeight="1" x14ac:dyDescent="0.25">
      <c r="A478" s="2" t="s">
        <v>266</v>
      </c>
      <c r="B478" s="2" t="s">
        <v>267</v>
      </c>
      <c r="C478" s="3">
        <v>3500</v>
      </c>
      <c r="D478" s="3">
        <v>0</v>
      </c>
      <c r="E478" s="3">
        <v>0</v>
      </c>
      <c r="F478" s="3">
        <v>0</v>
      </c>
      <c r="G478" s="5">
        <v>0</v>
      </c>
    </row>
    <row r="479" spans="1:7" x14ac:dyDescent="0.25">
      <c r="A479" s="2" t="s">
        <v>268</v>
      </c>
      <c r="B479" s="2" t="s">
        <v>269</v>
      </c>
      <c r="C479" s="3">
        <v>0</v>
      </c>
      <c r="D479" s="3">
        <v>0</v>
      </c>
      <c r="E479" s="3">
        <v>0</v>
      </c>
      <c r="F479" s="3">
        <v>0</v>
      </c>
      <c r="G479" s="5">
        <v>0</v>
      </c>
    </row>
    <row r="480" spans="1:7" x14ac:dyDescent="0.25">
      <c r="A480" s="2" t="s">
        <v>270</v>
      </c>
      <c r="B480" s="2" t="s">
        <v>271</v>
      </c>
      <c r="C480" s="3">
        <v>0</v>
      </c>
      <c r="D480" s="3">
        <v>0</v>
      </c>
      <c r="E480" s="3">
        <v>0</v>
      </c>
      <c r="F480" s="3">
        <v>0</v>
      </c>
      <c r="G480" s="5">
        <v>0</v>
      </c>
    </row>
    <row r="481" spans="1:7" ht="15" customHeight="1" x14ac:dyDescent="0.25">
      <c r="A481" s="2" t="s">
        <v>272</v>
      </c>
      <c r="B481" s="2" t="s">
        <v>273</v>
      </c>
      <c r="C481" s="3">
        <v>0</v>
      </c>
      <c r="D481" s="3">
        <v>2500</v>
      </c>
      <c r="E481" s="3">
        <v>2500</v>
      </c>
      <c r="F481" s="3">
        <v>2500</v>
      </c>
      <c r="G481" s="55">
        <v>2500</v>
      </c>
    </row>
    <row r="482" spans="1:7" ht="15" customHeight="1" x14ac:dyDescent="0.25">
      <c r="A482" s="2" t="s">
        <v>274</v>
      </c>
      <c r="B482" s="2" t="s">
        <v>275</v>
      </c>
      <c r="C482" s="3">
        <v>0</v>
      </c>
      <c r="D482" s="3">
        <v>0</v>
      </c>
      <c r="E482" s="3">
        <v>0</v>
      </c>
      <c r="F482" s="3">
        <v>0</v>
      </c>
      <c r="G482" s="5">
        <v>0</v>
      </c>
    </row>
    <row r="483" spans="1:7" ht="15" customHeight="1" x14ac:dyDescent="0.25">
      <c r="A483" s="1" t="s">
        <v>276</v>
      </c>
      <c r="B483" s="1" t="s">
        <v>2</v>
      </c>
      <c r="C483" s="6">
        <v>642163.05000000005</v>
      </c>
      <c r="D483" s="6">
        <v>577003</v>
      </c>
      <c r="E483" s="6">
        <f>SUM(E434:E482)</f>
        <v>642243.85</v>
      </c>
      <c r="F483" s="6">
        <f>SUM(F434:F482)</f>
        <v>766610.78</v>
      </c>
      <c r="G483" s="6">
        <f>SUM(G434:G482)</f>
        <v>778606</v>
      </c>
    </row>
    <row r="484" spans="1:7" x14ac:dyDescent="0.25">
      <c r="A484" s="1" t="s">
        <v>2</v>
      </c>
      <c r="B484" s="1" t="s">
        <v>2</v>
      </c>
      <c r="C484" s="1" t="s">
        <v>2</v>
      </c>
      <c r="D484" s="1" t="s">
        <v>2</v>
      </c>
      <c r="E484" s="1"/>
      <c r="F484" s="1" t="s">
        <v>2</v>
      </c>
      <c r="G484" s="1" t="s">
        <v>2</v>
      </c>
    </row>
    <row r="485" spans="1:7" ht="15" customHeight="1" x14ac:dyDescent="0.25">
      <c r="A485" s="1" t="s">
        <v>277</v>
      </c>
      <c r="B485" s="1" t="s">
        <v>2</v>
      </c>
    </row>
    <row r="486" spans="1:7" ht="15" customHeight="1" x14ac:dyDescent="0.25">
      <c r="A486" s="2" t="s">
        <v>278</v>
      </c>
      <c r="B486" s="2" t="s">
        <v>279</v>
      </c>
      <c r="C486" s="3">
        <v>144163.46</v>
      </c>
      <c r="D486" s="3">
        <v>65860.820000000007</v>
      </c>
      <c r="E486" s="3">
        <v>113954.14</v>
      </c>
      <c r="F486" s="3">
        <v>151294.76999999999</v>
      </c>
      <c r="G486" s="5">
        <f>F486*1.055</f>
        <v>159615.98234999998</v>
      </c>
    </row>
    <row r="487" spans="1:7" ht="15" customHeight="1" x14ac:dyDescent="0.25">
      <c r="A487" s="2" t="s">
        <v>280</v>
      </c>
      <c r="B487" s="2" t="s">
        <v>29</v>
      </c>
      <c r="C487" s="3">
        <v>28576.01</v>
      </c>
      <c r="D487" s="3">
        <v>13769.95</v>
      </c>
      <c r="E487" s="3">
        <v>23805.82</v>
      </c>
      <c r="F487" s="3">
        <v>30409.39</v>
      </c>
      <c r="G487" s="5">
        <f t="shared" ref="G487:G491" si="6">F487*1.055</f>
        <v>32081.906449999999</v>
      </c>
    </row>
    <row r="488" spans="1:7" ht="15" customHeight="1" x14ac:dyDescent="0.25">
      <c r="A488" s="2" t="s">
        <v>281</v>
      </c>
      <c r="B488" s="2" t="s">
        <v>31</v>
      </c>
      <c r="C488" s="3">
        <v>251.3</v>
      </c>
      <c r="D488" s="3">
        <v>105.94</v>
      </c>
      <c r="E488" s="3">
        <v>185.01</v>
      </c>
      <c r="F488" s="3">
        <v>277.48</v>
      </c>
      <c r="G488" s="5">
        <f t="shared" si="6"/>
        <v>292.7414</v>
      </c>
    </row>
    <row r="489" spans="1:7" ht="15" customHeight="1" x14ac:dyDescent="0.25">
      <c r="A489" s="2" t="s">
        <v>282</v>
      </c>
      <c r="B489" s="2" t="s">
        <v>33</v>
      </c>
      <c r="C489" s="3">
        <v>9896.74</v>
      </c>
      <c r="D489" s="3">
        <v>4590.6400000000003</v>
      </c>
      <c r="E489" s="3">
        <v>7939.6</v>
      </c>
      <c r="F489" s="3">
        <v>9981.1200000000008</v>
      </c>
      <c r="G489" s="5">
        <f t="shared" si="6"/>
        <v>10530.0816</v>
      </c>
    </row>
    <row r="490" spans="1:7" ht="15" customHeight="1" x14ac:dyDescent="0.25">
      <c r="A490" s="2" t="s">
        <v>283</v>
      </c>
      <c r="B490" s="2" t="s">
        <v>11</v>
      </c>
      <c r="C490" s="3">
        <v>11056.44</v>
      </c>
      <c r="D490" s="3">
        <v>5026.42</v>
      </c>
      <c r="E490" s="3">
        <v>8726.44</v>
      </c>
      <c r="F490" s="3">
        <v>11047.37</v>
      </c>
      <c r="G490" s="5">
        <f t="shared" si="6"/>
        <v>11654.975350000001</v>
      </c>
    </row>
    <row r="491" spans="1:7" ht="15" customHeight="1" x14ac:dyDescent="0.25">
      <c r="A491" s="2" t="s">
        <v>284</v>
      </c>
      <c r="B491" s="2" t="s">
        <v>13</v>
      </c>
      <c r="C491" s="3">
        <v>209.44</v>
      </c>
      <c r="D491" s="3">
        <v>141.83000000000001</v>
      </c>
      <c r="E491" s="3">
        <v>245.3</v>
      </c>
      <c r="F491" s="3">
        <v>222.4</v>
      </c>
      <c r="G491" s="5">
        <f t="shared" si="6"/>
        <v>234.63200000000001</v>
      </c>
    </row>
    <row r="492" spans="1:7" ht="15" customHeight="1" x14ac:dyDescent="0.25">
      <c r="A492" s="2" t="s">
        <v>285</v>
      </c>
      <c r="B492" s="2" t="s">
        <v>286</v>
      </c>
      <c r="C492" s="3">
        <v>500</v>
      </c>
      <c r="D492" s="3">
        <v>500</v>
      </c>
      <c r="E492" s="3">
        <v>1250</v>
      </c>
      <c r="F492" s="3">
        <v>900</v>
      </c>
      <c r="G492" s="5">
        <v>1000</v>
      </c>
    </row>
    <row r="493" spans="1:7" ht="15" customHeight="1" x14ac:dyDescent="0.25">
      <c r="A493" s="2" t="s">
        <v>287</v>
      </c>
      <c r="B493" s="2" t="s">
        <v>17</v>
      </c>
      <c r="C493" s="3">
        <v>0</v>
      </c>
      <c r="D493" s="3">
        <v>502.73</v>
      </c>
      <c r="E493" s="3">
        <v>948.95</v>
      </c>
      <c r="F493" s="3">
        <v>0</v>
      </c>
      <c r="G493" s="5">
        <v>0</v>
      </c>
    </row>
    <row r="494" spans="1:7" ht="15" customHeight="1" x14ac:dyDescent="0.25">
      <c r="A494" s="1" t="s">
        <v>288</v>
      </c>
      <c r="B494" s="1" t="s">
        <v>2</v>
      </c>
      <c r="C494" s="4">
        <v>194653.39</v>
      </c>
      <c r="D494" s="4">
        <v>90498.33</v>
      </c>
      <c r="E494" s="6">
        <f>SUM(E486:E493)</f>
        <v>157055.26</v>
      </c>
      <c r="F494" s="6">
        <f>SUM(F486:F493)</f>
        <v>204132.52999999997</v>
      </c>
      <c r="G494" s="6">
        <f>SUM(G486:G493)</f>
        <v>215410.31915</v>
      </c>
    </row>
    <row r="495" spans="1:7" x14ac:dyDescent="0.25">
      <c r="A495" s="1" t="s">
        <v>2</v>
      </c>
      <c r="B495" s="1" t="s">
        <v>2</v>
      </c>
      <c r="C495" s="1" t="s">
        <v>2</v>
      </c>
      <c r="D495" s="1" t="s">
        <v>2</v>
      </c>
      <c r="E495" s="1"/>
      <c r="F495" s="1" t="s">
        <v>2</v>
      </c>
      <c r="G495" s="1" t="s">
        <v>2</v>
      </c>
    </row>
    <row r="496" spans="1:7" ht="15" customHeight="1" x14ac:dyDescent="0.25">
      <c r="A496" s="1" t="s">
        <v>289</v>
      </c>
      <c r="B496" s="1" t="s">
        <v>2</v>
      </c>
    </row>
    <row r="497" spans="1:7" ht="15" customHeight="1" x14ac:dyDescent="0.25">
      <c r="A497" s="2" t="s">
        <v>290</v>
      </c>
      <c r="B497" s="2" t="s">
        <v>291</v>
      </c>
      <c r="C497" s="3">
        <v>2565.69</v>
      </c>
      <c r="D497" s="3">
        <v>1984.9</v>
      </c>
      <c r="E497" s="3">
        <v>2465.92</v>
      </c>
      <c r="F497" s="3">
        <v>5241.1499999999996</v>
      </c>
      <c r="G497" s="5">
        <f>F497*1.055</f>
        <v>5529.4132499999996</v>
      </c>
    </row>
    <row r="498" spans="1:7" ht="15" customHeight="1" x14ac:dyDescent="0.25">
      <c r="A498" s="2" t="s">
        <v>292</v>
      </c>
      <c r="B498" s="2" t="s">
        <v>293</v>
      </c>
      <c r="C498" s="3">
        <v>618.15</v>
      </c>
      <c r="D498" s="3">
        <v>595.98</v>
      </c>
      <c r="E498" s="3">
        <v>707.44</v>
      </c>
      <c r="F498" s="3">
        <v>1613.21</v>
      </c>
      <c r="G498" s="5">
        <f t="shared" ref="G498:G502" si="7">F498*1.055</f>
        <v>1701.9365499999999</v>
      </c>
    </row>
    <row r="499" spans="1:7" ht="15" customHeight="1" x14ac:dyDescent="0.25">
      <c r="A499" s="2" t="s">
        <v>294</v>
      </c>
      <c r="B499" s="2" t="s">
        <v>295</v>
      </c>
      <c r="C499" s="3">
        <v>3.77</v>
      </c>
      <c r="D499" s="3">
        <v>4.29</v>
      </c>
      <c r="E499" s="3">
        <v>5.25</v>
      </c>
      <c r="F499" s="3">
        <v>7.7</v>
      </c>
      <c r="G499" s="5">
        <f t="shared" si="7"/>
        <v>8.1234999999999999</v>
      </c>
    </row>
    <row r="500" spans="1:7" ht="15" customHeight="1" x14ac:dyDescent="0.25">
      <c r="A500" s="2" t="s">
        <v>296</v>
      </c>
      <c r="B500" s="2" t="s">
        <v>297</v>
      </c>
      <c r="C500" s="3">
        <v>57.91</v>
      </c>
      <c r="D500" s="3">
        <v>34.770000000000003</v>
      </c>
      <c r="E500" s="3">
        <v>42.18</v>
      </c>
      <c r="F500" s="3">
        <v>138.08000000000001</v>
      </c>
      <c r="G500" s="5">
        <f t="shared" si="7"/>
        <v>145.67439999999999</v>
      </c>
    </row>
    <row r="501" spans="1:7" ht="15" customHeight="1" x14ac:dyDescent="0.25">
      <c r="A501" s="2" t="s">
        <v>298</v>
      </c>
      <c r="B501" s="2" t="s">
        <v>299</v>
      </c>
      <c r="C501" s="3">
        <v>355.5</v>
      </c>
      <c r="D501" s="3">
        <v>228.73</v>
      </c>
      <c r="E501" s="3">
        <v>280.41000000000003</v>
      </c>
      <c r="F501" s="3">
        <v>630.82000000000005</v>
      </c>
      <c r="G501" s="5">
        <f t="shared" si="7"/>
        <v>665.51509999999996</v>
      </c>
    </row>
    <row r="502" spans="1:7" ht="15" customHeight="1" x14ac:dyDescent="0.25">
      <c r="A502" s="2" t="s">
        <v>300</v>
      </c>
      <c r="B502" s="2" t="s">
        <v>301</v>
      </c>
      <c r="C502" s="3">
        <v>193.72</v>
      </c>
      <c r="D502" s="3">
        <v>149.03</v>
      </c>
      <c r="E502" s="3">
        <v>185.28</v>
      </c>
      <c r="F502" s="3">
        <v>400.95</v>
      </c>
      <c r="G502" s="5">
        <f t="shared" si="7"/>
        <v>423.00224999999995</v>
      </c>
    </row>
    <row r="503" spans="1:7" ht="15" customHeight="1" x14ac:dyDescent="0.25">
      <c r="A503" s="2" t="s">
        <v>302</v>
      </c>
      <c r="B503" s="2" t="s">
        <v>303</v>
      </c>
      <c r="C503" s="3">
        <v>3628.9</v>
      </c>
      <c r="D503" s="3">
        <v>3092.16</v>
      </c>
      <c r="E503" s="3">
        <v>3664.2</v>
      </c>
      <c r="F503" s="3">
        <v>6200</v>
      </c>
      <c r="G503" s="5">
        <v>8000</v>
      </c>
    </row>
    <row r="504" spans="1:7" ht="15" customHeight="1" x14ac:dyDescent="0.25">
      <c r="A504" s="2" t="s">
        <v>304</v>
      </c>
      <c r="B504" s="2" t="s">
        <v>305</v>
      </c>
      <c r="C504" s="3">
        <v>35381.199999999997</v>
      </c>
      <c r="D504" s="3">
        <v>10940.33</v>
      </c>
      <c r="E504" s="3">
        <v>23003.73</v>
      </c>
      <c r="F504" s="3">
        <v>36000</v>
      </c>
      <c r="G504" s="5">
        <v>36000</v>
      </c>
    </row>
    <row r="505" spans="1:7" ht="15" customHeight="1" x14ac:dyDescent="0.25">
      <c r="A505" s="2" t="s">
        <v>306</v>
      </c>
      <c r="B505" s="2" t="s">
        <v>307</v>
      </c>
      <c r="C505" s="3">
        <v>9577.26</v>
      </c>
      <c r="D505" s="3">
        <v>509.02</v>
      </c>
      <c r="E505" s="3">
        <v>3795.64</v>
      </c>
      <c r="F505" s="3">
        <v>9000</v>
      </c>
      <c r="G505" s="5">
        <v>10000</v>
      </c>
    </row>
    <row r="506" spans="1:7" ht="24" x14ac:dyDescent="0.25">
      <c r="A506" s="2" t="s">
        <v>308</v>
      </c>
      <c r="B506" s="2" t="s">
        <v>309</v>
      </c>
      <c r="C506" s="3">
        <v>0</v>
      </c>
      <c r="D506" s="3">
        <v>0</v>
      </c>
      <c r="E506" s="3">
        <v>0</v>
      </c>
      <c r="F506" s="3">
        <v>0</v>
      </c>
      <c r="G506" s="5">
        <v>0</v>
      </c>
    </row>
    <row r="507" spans="1:7" x14ac:dyDescent="0.25">
      <c r="A507" s="2" t="s">
        <v>310</v>
      </c>
      <c r="B507" s="2" t="s">
        <v>311</v>
      </c>
      <c r="C507" s="3">
        <v>14708.23</v>
      </c>
      <c r="D507" s="3">
        <v>5199.3500000000004</v>
      </c>
      <c r="E507" s="3">
        <v>10343.31</v>
      </c>
      <c r="F507" s="3">
        <v>13800</v>
      </c>
      <c r="G507" s="5">
        <v>15000</v>
      </c>
    </row>
    <row r="508" spans="1:7" x14ac:dyDescent="0.25">
      <c r="A508" s="2" t="s">
        <v>312</v>
      </c>
      <c r="B508" s="2" t="s">
        <v>313</v>
      </c>
      <c r="C508" s="3">
        <v>41530.550000000003</v>
      </c>
      <c r="D508" s="3">
        <v>15920.13</v>
      </c>
      <c r="E508" s="3">
        <v>26759.16</v>
      </c>
      <c r="F508" s="3">
        <v>20000</v>
      </c>
      <c r="G508" s="5">
        <v>45000</v>
      </c>
    </row>
    <row r="509" spans="1:7" ht="15" customHeight="1" x14ac:dyDescent="0.25">
      <c r="A509" s="1" t="s">
        <v>314</v>
      </c>
      <c r="B509" s="1" t="s">
        <v>2</v>
      </c>
      <c r="C509" s="4">
        <v>108620.88</v>
      </c>
      <c r="D509" s="4">
        <v>38658.69</v>
      </c>
      <c r="E509" s="6">
        <f>SUM(E497:E508)</f>
        <v>71252.52</v>
      </c>
      <c r="F509" s="6">
        <f>SUM(F497:F508)</f>
        <v>93031.91</v>
      </c>
      <c r="G509" s="6">
        <f>SUM(G497:G508)</f>
        <v>122473.66505</v>
      </c>
    </row>
    <row r="510" spans="1:7" x14ac:dyDescent="0.25">
      <c r="A510" s="1" t="s">
        <v>2</v>
      </c>
      <c r="B510" s="1" t="s">
        <v>2</v>
      </c>
      <c r="C510" s="1" t="s">
        <v>2</v>
      </c>
      <c r="D510" s="1" t="s">
        <v>2</v>
      </c>
      <c r="E510" s="1"/>
      <c r="F510" s="1" t="s">
        <v>2</v>
      </c>
      <c r="G510" s="1" t="s">
        <v>2</v>
      </c>
    </row>
    <row r="511" spans="1:7" ht="15" customHeight="1" x14ac:dyDescent="0.25">
      <c r="A511" s="1" t="s">
        <v>315</v>
      </c>
      <c r="B511" s="1" t="s">
        <v>2</v>
      </c>
    </row>
    <row r="512" spans="1:7" ht="15" customHeight="1" x14ac:dyDescent="0.25">
      <c r="A512" s="2" t="s">
        <v>316</v>
      </c>
      <c r="B512" s="2" t="s">
        <v>317</v>
      </c>
      <c r="C512" s="3">
        <v>127789.15</v>
      </c>
      <c r="D512" s="3">
        <v>81425.149999999994</v>
      </c>
      <c r="E512" s="3">
        <v>156939.03</v>
      </c>
      <c r="F512" s="3">
        <v>111067.59</v>
      </c>
      <c r="G512" s="5">
        <f>F512*1.055</f>
        <v>117176.30744999999</v>
      </c>
    </row>
    <row r="513" spans="1:12" ht="15" customHeight="1" x14ac:dyDescent="0.25">
      <c r="A513" s="2" t="s">
        <v>318</v>
      </c>
      <c r="B513" s="2" t="s">
        <v>319</v>
      </c>
      <c r="C513" s="3">
        <v>229065.14</v>
      </c>
      <c r="D513" s="3">
        <v>114070.76</v>
      </c>
      <c r="E513" s="3">
        <v>213235.33</v>
      </c>
      <c r="F513" s="3">
        <v>281501.12</v>
      </c>
      <c r="G513" s="5">
        <f t="shared" ref="G513:G533" si="8">F513*1.055</f>
        <v>296983.68159999995</v>
      </c>
    </row>
    <row r="514" spans="1:12" ht="15" customHeight="1" x14ac:dyDescent="0.25">
      <c r="A514" s="2" t="s">
        <v>320</v>
      </c>
      <c r="B514" s="2" t="s">
        <v>321</v>
      </c>
      <c r="C514" s="3">
        <v>1974062.23</v>
      </c>
      <c r="D514" s="3">
        <v>939916.42</v>
      </c>
      <c r="E514" s="3">
        <v>1619266.22</v>
      </c>
      <c r="F514" s="3">
        <v>2144084.14</v>
      </c>
      <c r="G514" s="5">
        <f>F514*1.055+185000</f>
        <v>2447008.7677000002</v>
      </c>
      <c r="H514" t="s">
        <v>3408</v>
      </c>
    </row>
    <row r="515" spans="1:12" x14ac:dyDescent="0.25">
      <c r="A515" s="2" t="s">
        <v>322</v>
      </c>
      <c r="B515" s="2" t="s">
        <v>323</v>
      </c>
      <c r="C515" s="3">
        <v>21219.14</v>
      </c>
      <c r="D515" s="3">
        <v>18166.830000000002</v>
      </c>
      <c r="E515" s="3">
        <v>25544.07</v>
      </c>
      <c r="F515" s="3">
        <v>32898.160000000003</v>
      </c>
      <c r="G515" s="5">
        <f t="shared" si="8"/>
        <v>34707.558799999999</v>
      </c>
    </row>
    <row r="516" spans="1:12" ht="15" customHeight="1" x14ac:dyDescent="0.25">
      <c r="A516" s="2" t="s">
        <v>324</v>
      </c>
      <c r="B516" s="2" t="s">
        <v>325</v>
      </c>
      <c r="C516" s="3">
        <v>808.85</v>
      </c>
      <c r="D516" s="3">
        <v>0</v>
      </c>
      <c r="E516" s="3">
        <v>0</v>
      </c>
      <c r="F516" s="3">
        <v>2512.7600000000002</v>
      </c>
      <c r="G516" s="5">
        <f t="shared" si="8"/>
        <v>2650.9618</v>
      </c>
    </row>
    <row r="517" spans="1:12" x14ac:dyDescent="0.25">
      <c r="A517" s="2" t="s">
        <v>326</v>
      </c>
      <c r="B517" s="2" t="s">
        <v>327</v>
      </c>
      <c r="C517" s="3">
        <v>7560.63</v>
      </c>
      <c r="D517" s="3">
        <v>1390.66</v>
      </c>
      <c r="E517" s="3">
        <v>2495.62</v>
      </c>
      <c r="F517" s="3">
        <v>11419.54</v>
      </c>
      <c r="G517" s="5">
        <f t="shared" si="8"/>
        <v>12047.6147</v>
      </c>
    </row>
    <row r="518" spans="1:12" ht="15" customHeight="1" x14ac:dyDescent="0.25">
      <c r="A518" s="2" t="s">
        <v>328</v>
      </c>
      <c r="B518" s="2" t="s">
        <v>329</v>
      </c>
      <c r="C518" s="3">
        <v>474651.54</v>
      </c>
      <c r="D518" s="3">
        <v>235057.47</v>
      </c>
      <c r="E518" s="3">
        <v>404801.65</v>
      </c>
      <c r="F518" s="3">
        <v>552623.68000000005</v>
      </c>
      <c r="G518" s="5">
        <f t="shared" si="8"/>
        <v>583017.98239999998</v>
      </c>
    </row>
    <row r="519" spans="1:12" ht="15" customHeight="1" x14ac:dyDescent="0.25">
      <c r="A519" s="2" t="s">
        <v>330</v>
      </c>
      <c r="B519" s="2" t="s">
        <v>331</v>
      </c>
      <c r="C519" s="3">
        <v>60263.56</v>
      </c>
      <c r="D519" s="3">
        <v>22463.53</v>
      </c>
      <c r="E519" s="3">
        <v>37060.93</v>
      </c>
      <c r="F519" s="3">
        <v>70145.88</v>
      </c>
      <c r="G519" s="5">
        <f t="shared" si="8"/>
        <v>74003.903399999996</v>
      </c>
    </row>
    <row r="520" spans="1:12" ht="15" customHeight="1" x14ac:dyDescent="0.25">
      <c r="A520" s="2" t="s">
        <v>332</v>
      </c>
      <c r="B520" s="2" t="s">
        <v>333</v>
      </c>
      <c r="C520" s="3">
        <v>129496.22</v>
      </c>
      <c r="D520" s="3">
        <v>62439.31</v>
      </c>
      <c r="E520" s="3">
        <v>106707.72</v>
      </c>
      <c r="F520" s="3">
        <v>142458</v>
      </c>
      <c r="G520" s="5">
        <f t="shared" si="8"/>
        <v>150293.19</v>
      </c>
    </row>
    <row r="521" spans="1:12" ht="15" customHeight="1" x14ac:dyDescent="0.25">
      <c r="A521" s="2" t="s">
        <v>334</v>
      </c>
      <c r="B521" s="2" t="s">
        <v>335</v>
      </c>
      <c r="C521" s="3">
        <v>150558.96</v>
      </c>
      <c r="D521" s="3">
        <v>72074.25</v>
      </c>
      <c r="E521" s="3">
        <v>124250.81</v>
      </c>
      <c r="F521" s="3">
        <v>164022.44</v>
      </c>
      <c r="G521" s="5">
        <f t="shared" si="8"/>
        <v>173043.67419999998</v>
      </c>
    </row>
    <row r="522" spans="1:12" x14ac:dyDescent="0.25">
      <c r="A522" s="2" t="s">
        <v>336</v>
      </c>
      <c r="B522" s="2" t="s">
        <v>337</v>
      </c>
      <c r="C522" s="3">
        <v>159.99</v>
      </c>
      <c r="D522" s="3">
        <v>47.42</v>
      </c>
      <c r="E522" s="3">
        <v>85.1</v>
      </c>
      <c r="F522" s="3">
        <v>389.41</v>
      </c>
      <c r="G522" s="5">
        <f t="shared" si="8"/>
        <v>410.82754999999997</v>
      </c>
    </row>
    <row r="523" spans="1:12" ht="15" customHeight="1" x14ac:dyDescent="0.25">
      <c r="A523" s="2" t="s">
        <v>338</v>
      </c>
      <c r="B523" s="2" t="s">
        <v>339</v>
      </c>
      <c r="C523" s="3">
        <v>3125.15</v>
      </c>
      <c r="D523" s="3">
        <v>2241.9899999999998</v>
      </c>
      <c r="E523" s="3">
        <v>3880.99</v>
      </c>
      <c r="F523" s="3">
        <v>3383.91</v>
      </c>
      <c r="G523" s="5">
        <f t="shared" si="8"/>
        <v>3570.0250499999997</v>
      </c>
    </row>
    <row r="524" spans="1:12" ht="15" customHeight="1" x14ac:dyDescent="0.25">
      <c r="A524" s="2" t="s">
        <v>340</v>
      </c>
      <c r="B524" s="2" t="s">
        <v>341</v>
      </c>
      <c r="C524" s="3">
        <v>4938.83</v>
      </c>
      <c r="D524" s="3">
        <v>2460.13</v>
      </c>
      <c r="E524" s="3">
        <v>4437.18</v>
      </c>
      <c r="F524" s="3">
        <v>4637.6099999999997</v>
      </c>
      <c r="G524" s="5">
        <f t="shared" si="8"/>
        <v>4892.6785499999996</v>
      </c>
    </row>
    <row r="525" spans="1:12" ht="15" customHeight="1" x14ac:dyDescent="0.25">
      <c r="A525" s="2" t="s">
        <v>342</v>
      </c>
      <c r="B525" s="2" t="s">
        <v>343</v>
      </c>
      <c r="C525" s="3">
        <v>8390.52</v>
      </c>
      <c r="D525" s="3">
        <v>5394.76</v>
      </c>
      <c r="E525" s="3">
        <v>9859.24</v>
      </c>
      <c r="F525" s="3">
        <v>8758.01</v>
      </c>
      <c r="G525" s="5">
        <f t="shared" si="8"/>
        <v>9239.7005499999996</v>
      </c>
      <c r="K525" s="41"/>
      <c r="L525" s="41"/>
    </row>
    <row r="526" spans="1:12" ht="15" customHeight="1" x14ac:dyDescent="0.25">
      <c r="A526" s="2" t="s">
        <v>344</v>
      </c>
      <c r="B526" s="2" t="s">
        <v>345</v>
      </c>
      <c r="C526" s="3">
        <v>11934.85</v>
      </c>
      <c r="D526" s="3">
        <v>7658.79</v>
      </c>
      <c r="E526" s="3">
        <v>14028.29</v>
      </c>
      <c r="F526" s="3">
        <v>12079.2</v>
      </c>
      <c r="G526" s="5">
        <f t="shared" si="8"/>
        <v>12743.556</v>
      </c>
      <c r="L526" s="41"/>
    </row>
    <row r="527" spans="1:12" ht="15" customHeight="1" x14ac:dyDescent="0.25">
      <c r="A527" s="2" t="s">
        <v>346</v>
      </c>
      <c r="B527" s="2" t="s">
        <v>347</v>
      </c>
      <c r="C527" s="3">
        <v>75231.12</v>
      </c>
      <c r="D527" s="3">
        <v>34637.11</v>
      </c>
      <c r="E527" s="3">
        <v>61309.57</v>
      </c>
      <c r="F527" s="3">
        <v>129787.1</v>
      </c>
      <c r="G527" s="5">
        <f t="shared" si="8"/>
        <v>136925.39050000001</v>
      </c>
      <c r="L527" s="41"/>
    </row>
    <row r="528" spans="1:12" ht="15" customHeight="1" x14ac:dyDescent="0.25">
      <c r="A528" s="2" t="s">
        <v>348</v>
      </c>
      <c r="B528" s="2" t="s">
        <v>349</v>
      </c>
      <c r="C528" s="3">
        <v>1025.52</v>
      </c>
      <c r="D528" s="3">
        <v>413.25</v>
      </c>
      <c r="E528" s="3">
        <v>819.99</v>
      </c>
      <c r="F528" s="3">
        <v>1387.4</v>
      </c>
      <c r="G528" s="5">
        <f t="shared" si="8"/>
        <v>1463.7070000000001</v>
      </c>
      <c r="L528" s="41"/>
    </row>
    <row r="529" spans="1:12" ht="15" customHeight="1" x14ac:dyDescent="0.25">
      <c r="A529" s="2" t="s">
        <v>350</v>
      </c>
      <c r="B529" s="2" t="s">
        <v>351</v>
      </c>
      <c r="C529" s="3">
        <v>31314.36</v>
      </c>
      <c r="D529" s="3">
        <v>13157.74</v>
      </c>
      <c r="E529" s="3">
        <v>25059.37</v>
      </c>
      <c r="F529" s="3">
        <v>36353.86</v>
      </c>
      <c r="G529" s="5">
        <f t="shared" si="8"/>
        <v>38353.3223</v>
      </c>
      <c r="L529" s="41"/>
    </row>
    <row r="530" spans="1:12" ht="15" customHeight="1" x14ac:dyDescent="0.25">
      <c r="A530" s="2" t="s">
        <v>352</v>
      </c>
      <c r="B530" s="2" t="s">
        <v>353</v>
      </c>
      <c r="C530" s="3">
        <v>17231.45</v>
      </c>
      <c r="D530" s="3">
        <v>8623.64</v>
      </c>
      <c r="E530" s="3">
        <v>16113.58</v>
      </c>
      <c r="F530" s="3">
        <v>21534.84</v>
      </c>
      <c r="G530" s="5">
        <f t="shared" si="8"/>
        <v>22719.2562</v>
      </c>
      <c r="L530" s="41"/>
    </row>
    <row r="531" spans="1:12" ht="15" customHeight="1" x14ac:dyDescent="0.25">
      <c r="A531" s="2" t="s">
        <v>354</v>
      </c>
      <c r="B531" s="2" t="s">
        <v>355</v>
      </c>
      <c r="C531" s="3">
        <v>769.74</v>
      </c>
      <c r="D531" s="3">
        <v>645.03</v>
      </c>
      <c r="E531" s="3">
        <v>1187.45</v>
      </c>
      <c r="F531" s="3">
        <v>1992.79</v>
      </c>
      <c r="G531" s="5">
        <f t="shared" si="8"/>
        <v>2102.39345</v>
      </c>
    </row>
    <row r="532" spans="1:12" ht="15" customHeight="1" x14ac:dyDescent="0.25">
      <c r="A532" s="2" t="s">
        <v>356</v>
      </c>
      <c r="B532" s="2" t="s">
        <v>357</v>
      </c>
      <c r="C532" s="3">
        <v>336.16</v>
      </c>
      <c r="D532" s="3">
        <v>244.1</v>
      </c>
      <c r="E532" s="3">
        <v>453.33</v>
      </c>
      <c r="F532" s="3">
        <v>413.81</v>
      </c>
      <c r="G532" s="5">
        <f t="shared" si="8"/>
        <v>436.56954999999999</v>
      </c>
    </row>
    <row r="533" spans="1:12" ht="15" customHeight="1" x14ac:dyDescent="0.25">
      <c r="A533" s="2" t="s">
        <v>358</v>
      </c>
      <c r="B533" s="2" t="s">
        <v>286</v>
      </c>
      <c r="C533" s="3">
        <v>11000</v>
      </c>
      <c r="D533" s="3">
        <v>11750</v>
      </c>
      <c r="E533" s="3">
        <v>22250</v>
      </c>
      <c r="F533" s="3">
        <v>23500</v>
      </c>
      <c r="G533" s="5">
        <f t="shared" si="8"/>
        <v>24792.5</v>
      </c>
    </row>
    <row r="534" spans="1:12" ht="15" customHeight="1" x14ac:dyDescent="0.25">
      <c r="A534" s="2" t="s">
        <v>359</v>
      </c>
      <c r="B534" s="2" t="s">
        <v>37</v>
      </c>
      <c r="C534" s="3">
        <v>5933.35</v>
      </c>
      <c r="D534" s="3">
        <v>1011.01</v>
      </c>
      <c r="E534" s="3">
        <v>2072.86</v>
      </c>
      <c r="F534" s="3">
        <v>5600</v>
      </c>
      <c r="G534" s="5">
        <v>7400</v>
      </c>
    </row>
    <row r="535" spans="1:12" ht="15" customHeight="1" x14ac:dyDescent="0.25">
      <c r="A535" s="2" t="s">
        <v>360</v>
      </c>
      <c r="B535" s="2" t="s">
        <v>361</v>
      </c>
      <c r="C535" s="3">
        <v>15088.97</v>
      </c>
      <c r="D535" s="3">
        <v>25112.44</v>
      </c>
      <c r="E535" s="3">
        <v>36786</v>
      </c>
      <c r="F535" s="3">
        <v>82500</v>
      </c>
      <c r="G535" s="5">
        <v>112000</v>
      </c>
      <c r="H535" t="s">
        <v>3452</v>
      </c>
    </row>
    <row r="536" spans="1:12" ht="15" customHeight="1" x14ac:dyDescent="0.25">
      <c r="A536" s="2" t="s">
        <v>362</v>
      </c>
      <c r="B536" s="2" t="s">
        <v>363</v>
      </c>
      <c r="C536" s="3">
        <v>48074.78</v>
      </c>
      <c r="D536" s="3">
        <v>11714.04</v>
      </c>
      <c r="E536" s="3">
        <v>14142.7</v>
      </c>
      <c r="F536" s="3">
        <v>30800</v>
      </c>
      <c r="G536" s="5">
        <f>102900+20000</f>
        <v>122900</v>
      </c>
      <c r="H536" t="s">
        <v>3411</v>
      </c>
      <c r="I536" t="s">
        <v>3413</v>
      </c>
    </row>
    <row r="537" spans="1:12" ht="15" customHeight="1" x14ac:dyDescent="0.25">
      <c r="A537" s="2" t="s">
        <v>364</v>
      </c>
      <c r="B537" s="2" t="s">
        <v>365</v>
      </c>
      <c r="C537" s="3">
        <v>4978.2</v>
      </c>
      <c r="D537" s="3">
        <v>0</v>
      </c>
      <c r="E537" s="3">
        <v>0</v>
      </c>
      <c r="F537" s="3">
        <v>5000</v>
      </c>
      <c r="G537" s="5">
        <v>5000</v>
      </c>
      <c r="I537">
        <f>(70*35)*12</f>
        <v>29400</v>
      </c>
      <c r="J537" t="s">
        <v>3414</v>
      </c>
    </row>
    <row r="538" spans="1:12" ht="15" customHeight="1" x14ac:dyDescent="0.25">
      <c r="A538" s="2" t="s">
        <v>366</v>
      </c>
      <c r="B538" s="2" t="s">
        <v>367</v>
      </c>
      <c r="C538" s="3">
        <v>2194.0100000000002</v>
      </c>
      <c r="D538" s="3">
        <v>550.29</v>
      </c>
      <c r="E538" s="3">
        <v>1344.12</v>
      </c>
      <c r="F538" s="3">
        <v>1500</v>
      </c>
      <c r="G538" s="5">
        <v>2000</v>
      </c>
    </row>
    <row r="539" spans="1:12" ht="15" customHeight="1" x14ac:dyDescent="0.25">
      <c r="A539" s="2" t="s">
        <v>368</v>
      </c>
      <c r="B539" s="2" t="s">
        <v>369</v>
      </c>
      <c r="C539" s="3">
        <v>5772.23</v>
      </c>
      <c r="D539" s="3">
        <v>214.26</v>
      </c>
      <c r="E539" s="3">
        <v>214.26</v>
      </c>
      <c r="F539" s="3">
        <v>10000</v>
      </c>
      <c r="G539" s="5">
        <v>10500</v>
      </c>
    </row>
    <row r="540" spans="1:12" ht="15" customHeight="1" x14ac:dyDescent="0.25">
      <c r="A540" s="2" t="s">
        <v>370</v>
      </c>
      <c r="B540" s="2" t="s">
        <v>43</v>
      </c>
      <c r="C540" s="3">
        <v>216318.87</v>
      </c>
      <c r="D540" s="3">
        <v>175498.05</v>
      </c>
      <c r="E540" s="3">
        <v>176737.64</v>
      </c>
      <c r="F540" s="3">
        <v>175466.06</v>
      </c>
      <c r="G540" s="59">
        <v>216318.87</v>
      </c>
    </row>
    <row r="541" spans="1:12" x14ac:dyDescent="0.25">
      <c r="A541" s="2" t="s">
        <v>371</v>
      </c>
      <c r="B541" s="2" t="s">
        <v>372</v>
      </c>
      <c r="C541" s="3">
        <v>164220.85999999999</v>
      </c>
      <c r="D541" s="3">
        <v>201800.26</v>
      </c>
      <c r="E541" s="3">
        <v>203798.89</v>
      </c>
      <c r="F541" s="3">
        <v>201790.92</v>
      </c>
      <c r="G541" s="56">
        <v>164220.85999999999</v>
      </c>
      <c r="H541" t="s">
        <v>3409</v>
      </c>
    </row>
    <row r="542" spans="1:12" ht="15" customHeight="1" x14ac:dyDescent="0.25">
      <c r="A542" s="2" t="s">
        <v>373</v>
      </c>
      <c r="B542" s="2" t="s">
        <v>198</v>
      </c>
      <c r="C542" s="3">
        <v>97215.15</v>
      </c>
      <c r="D542" s="3">
        <v>80667.070000000007</v>
      </c>
      <c r="E542" s="3">
        <v>82421.47</v>
      </c>
      <c r="F542" s="3">
        <v>80667.070000000007</v>
      </c>
      <c r="G542" s="5">
        <v>95000</v>
      </c>
    </row>
    <row r="543" spans="1:12" ht="15" customHeight="1" x14ac:dyDescent="0.25">
      <c r="A543" s="2" t="s">
        <v>374</v>
      </c>
      <c r="B543" s="2" t="s">
        <v>95</v>
      </c>
      <c r="C543" s="3">
        <v>12277.65</v>
      </c>
      <c r="D543" s="3">
        <v>9077.02</v>
      </c>
      <c r="E543" s="3">
        <v>17886.62</v>
      </c>
      <c r="F543" s="3">
        <v>10000</v>
      </c>
      <c r="G543" s="5">
        <f>15000+175000</f>
        <v>190000</v>
      </c>
      <c r="H543" t="s">
        <v>3412</v>
      </c>
    </row>
    <row r="544" spans="1:12" ht="15" customHeight="1" x14ac:dyDescent="0.25">
      <c r="A544" s="2" t="s">
        <v>375</v>
      </c>
      <c r="B544" s="2" t="s">
        <v>376</v>
      </c>
      <c r="C544" s="3">
        <v>2167</v>
      </c>
      <c r="D544" s="3">
        <v>455</v>
      </c>
      <c r="E544" s="3">
        <v>7899.15</v>
      </c>
      <c r="F544" s="3">
        <v>2100</v>
      </c>
      <c r="G544" s="5">
        <v>2200</v>
      </c>
      <c r="H544" s="41"/>
    </row>
    <row r="545" spans="1:8" x14ac:dyDescent="0.25">
      <c r="A545" s="2" t="s">
        <v>377</v>
      </c>
      <c r="B545" s="2" t="s">
        <v>378</v>
      </c>
      <c r="C545" s="3">
        <v>7676</v>
      </c>
      <c r="D545" s="3">
        <v>8167.27</v>
      </c>
      <c r="E545" s="3">
        <v>8167.27</v>
      </c>
      <c r="F545" s="3">
        <v>7676</v>
      </c>
      <c r="G545" s="5">
        <v>8167.27</v>
      </c>
      <c r="H545" s="41"/>
    </row>
    <row r="546" spans="1:8" ht="15" customHeight="1" x14ac:dyDescent="0.25">
      <c r="A546" s="2" t="s">
        <v>379</v>
      </c>
      <c r="B546" s="2" t="s">
        <v>380</v>
      </c>
      <c r="C546" s="3">
        <v>36912.480000000003</v>
      </c>
      <c r="D546" s="3">
        <v>12984.51</v>
      </c>
      <c r="E546" s="3">
        <v>23992.69</v>
      </c>
      <c r="F546" s="3">
        <v>38100</v>
      </c>
      <c r="G546" s="5">
        <v>40000</v>
      </c>
    </row>
    <row r="547" spans="1:8" ht="15" customHeight="1" x14ac:dyDescent="0.25">
      <c r="A547" s="2" t="s">
        <v>381</v>
      </c>
      <c r="B547" s="2" t="s">
        <v>59</v>
      </c>
      <c r="C547" s="3">
        <v>1371.5</v>
      </c>
      <c r="D547" s="3">
        <v>812.37</v>
      </c>
      <c r="E547" s="3">
        <v>1857.96</v>
      </c>
      <c r="F547" s="3">
        <v>1200</v>
      </c>
      <c r="G547" s="5">
        <v>1300</v>
      </c>
    </row>
    <row r="548" spans="1:8" ht="15" customHeight="1" x14ac:dyDescent="0.25">
      <c r="A548" s="2" t="s">
        <v>382</v>
      </c>
      <c r="B548" s="2" t="s">
        <v>17</v>
      </c>
      <c r="C548" s="3">
        <v>15712.72</v>
      </c>
      <c r="D548" s="3">
        <v>12833.19</v>
      </c>
      <c r="E548" s="3">
        <v>19960.310000000001</v>
      </c>
      <c r="F548" s="3">
        <v>19500</v>
      </c>
      <c r="G548" s="5">
        <v>25500</v>
      </c>
    </row>
    <row r="549" spans="1:8" ht="15" customHeight="1" x14ac:dyDescent="0.25">
      <c r="A549" s="2" t="s">
        <v>383</v>
      </c>
      <c r="B549" s="2" t="s">
        <v>66</v>
      </c>
      <c r="C549" s="3">
        <v>14051.62</v>
      </c>
      <c r="D549" s="3">
        <v>12964.35</v>
      </c>
      <c r="E549" s="3">
        <v>16759.400000000001</v>
      </c>
      <c r="F549" s="3">
        <v>31000</v>
      </c>
      <c r="G549" s="5">
        <f>14400+40000</f>
        <v>54400</v>
      </c>
      <c r="H549" t="s">
        <v>3421</v>
      </c>
    </row>
    <row r="550" spans="1:8" ht="15" customHeight="1" x14ac:dyDescent="0.25">
      <c r="A550" s="2" t="s">
        <v>384</v>
      </c>
      <c r="B550" s="2" t="s">
        <v>144</v>
      </c>
      <c r="C550" s="3">
        <v>120</v>
      </c>
      <c r="D550" s="3">
        <v>223.89</v>
      </c>
      <c r="E550" s="3">
        <v>418.89</v>
      </c>
      <c r="F550" s="3">
        <v>400</v>
      </c>
      <c r="G550" s="5">
        <v>400</v>
      </c>
    </row>
    <row r="551" spans="1:8" ht="15" customHeight="1" x14ac:dyDescent="0.25">
      <c r="A551" s="2" t="s">
        <v>385</v>
      </c>
      <c r="B551" s="2" t="s">
        <v>386</v>
      </c>
      <c r="C551" s="3">
        <v>7630.15</v>
      </c>
      <c r="D551" s="3">
        <v>3180.94</v>
      </c>
      <c r="E551" s="3">
        <v>5725.7</v>
      </c>
      <c r="F551" s="3">
        <v>7800</v>
      </c>
      <c r="G551" s="5">
        <v>7800</v>
      </c>
    </row>
    <row r="552" spans="1:8" ht="15" customHeight="1" x14ac:dyDescent="0.25">
      <c r="A552" s="2" t="s">
        <v>387</v>
      </c>
      <c r="B552" s="2" t="s">
        <v>388</v>
      </c>
      <c r="C552" s="3">
        <v>15812.88</v>
      </c>
      <c r="D552" s="3">
        <v>3610.1</v>
      </c>
      <c r="E552" s="3">
        <v>6121.74</v>
      </c>
      <c r="F552" s="3">
        <v>11200</v>
      </c>
      <c r="G552" s="5">
        <f>15000+11800</f>
        <v>26800</v>
      </c>
      <c r="H552" t="s">
        <v>3422</v>
      </c>
    </row>
    <row r="553" spans="1:8" x14ac:dyDescent="0.25">
      <c r="A553" s="2" t="s">
        <v>389</v>
      </c>
      <c r="B553" s="2" t="s">
        <v>390</v>
      </c>
      <c r="C553" s="3">
        <v>12732.5</v>
      </c>
      <c r="D553" s="3">
        <v>2990</v>
      </c>
      <c r="E553" s="3">
        <v>5462.5</v>
      </c>
      <c r="F553" s="3">
        <v>13000</v>
      </c>
      <c r="G553" s="5">
        <v>13000</v>
      </c>
    </row>
    <row r="554" spans="1:8" x14ac:dyDescent="0.25">
      <c r="A554" s="2" t="s">
        <v>391</v>
      </c>
      <c r="B554" s="2" t="s">
        <v>392</v>
      </c>
      <c r="C554" s="3">
        <v>0</v>
      </c>
      <c r="D554" s="3">
        <v>0</v>
      </c>
      <c r="E554" s="3">
        <v>0</v>
      </c>
      <c r="F554" s="3">
        <v>2000</v>
      </c>
      <c r="G554" s="5">
        <v>2000</v>
      </c>
    </row>
    <row r="555" spans="1:8" ht="15" customHeight="1" x14ac:dyDescent="0.25">
      <c r="A555" s="2" t="s">
        <v>393</v>
      </c>
      <c r="B555" s="2" t="s">
        <v>64</v>
      </c>
      <c r="C555" s="3">
        <v>6751.57</v>
      </c>
      <c r="D555" s="3">
        <v>2159.6999999999998</v>
      </c>
      <c r="E555" s="3">
        <v>3580.29</v>
      </c>
      <c r="F555" s="3">
        <v>10100</v>
      </c>
      <c r="G555" s="5">
        <v>10100</v>
      </c>
    </row>
    <row r="556" spans="1:8" ht="15" customHeight="1" x14ac:dyDescent="0.25">
      <c r="A556" s="2" t="s">
        <v>394</v>
      </c>
      <c r="B556" s="2" t="s">
        <v>395</v>
      </c>
      <c r="C556" s="3">
        <v>1075.98</v>
      </c>
      <c r="D556" s="3">
        <v>345.7</v>
      </c>
      <c r="E556" s="3">
        <v>345.7</v>
      </c>
      <c r="F556" s="3">
        <v>2500</v>
      </c>
      <c r="G556" s="5">
        <v>2500</v>
      </c>
    </row>
    <row r="557" spans="1:8" ht="15" customHeight="1" x14ac:dyDescent="0.25">
      <c r="A557" s="2" t="s">
        <v>396</v>
      </c>
      <c r="B557" s="2" t="s">
        <v>397</v>
      </c>
      <c r="C557" s="3">
        <v>0</v>
      </c>
      <c r="D557" s="3">
        <v>0</v>
      </c>
      <c r="E557" s="3">
        <v>0</v>
      </c>
      <c r="F557" s="3">
        <v>500</v>
      </c>
      <c r="G557" s="5">
        <v>500</v>
      </c>
    </row>
    <row r="558" spans="1:8" ht="15" customHeight="1" x14ac:dyDescent="0.25">
      <c r="A558" s="2" t="s">
        <v>398</v>
      </c>
      <c r="B558" s="2" t="s">
        <v>399</v>
      </c>
      <c r="C558" s="3">
        <v>204.95</v>
      </c>
      <c r="D558" s="3">
        <v>0</v>
      </c>
      <c r="E558" s="3">
        <v>0</v>
      </c>
      <c r="F558" s="3">
        <v>3500</v>
      </c>
      <c r="G558" s="5">
        <v>3500</v>
      </c>
    </row>
    <row r="559" spans="1:8" ht="15" customHeight="1" x14ac:dyDescent="0.25">
      <c r="A559" s="2" t="s">
        <v>400</v>
      </c>
      <c r="B559" s="2" t="s">
        <v>401</v>
      </c>
      <c r="C559" s="3">
        <v>0</v>
      </c>
      <c r="D559" s="3">
        <v>0</v>
      </c>
      <c r="E559" s="3">
        <v>0</v>
      </c>
      <c r="F559" s="3">
        <v>1000</v>
      </c>
      <c r="G559" s="5">
        <v>0</v>
      </c>
    </row>
    <row r="560" spans="1:8" ht="24" x14ac:dyDescent="0.25">
      <c r="A560" s="2" t="s">
        <v>402</v>
      </c>
      <c r="B560" s="2" t="s">
        <v>403</v>
      </c>
      <c r="C560" s="3">
        <v>0</v>
      </c>
      <c r="D560" s="3">
        <v>0</v>
      </c>
      <c r="E560" s="3">
        <v>0</v>
      </c>
      <c r="F560" s="3">
        <v>2000</v>
      </c>
      <c r="G560" s="5">
        <v>2000</v>
      </c>
    </row>
    <row r="561" spans="1:11" ht="24" x14ac:dyDescent="0.25">
      <c r="A561" s="2" t="s">
        <v>404</v>
      </c>
      <c r="B561" s="2" t="s">
        <v>405</v>
      </c>
      <c r="C561" s="3">
        <v>489.15</v>
      </c>
      <c r="D561" s="3">
        <v>0</v>
      </c>
      <c r="E561" s="3">
        <v>0</v>
      </c>
      <c r="F561" s="3">
        <v>0</v>
      </c>
      <c r="G561" s="5">
        <v>0</v>
      </c>
    </row>
    <row r="562" spans="1:11" ht="24" x14ac:dyDescent="0.25">
      <c r="A562" s="2" t="s">
        <v>406</v>
      </c>
      <c r="B562" s="2" t="s">
        <v>407</v>
      </c>
      <c r="C562" s="3">
        <v>3255.57</v>
      </c>
      <c r="D562" s="3">
        <v>0</v>
      </c>
      <c r="E562" s="3">
        <v>0</v>
      </c>
      <c r="F562" s="3">
        <v>0</v>
      </c>
      <c r="G562" s="5">
        <v>0</v>
      </c>
    </row>
    <row r="563" spans="1:11" ht="15" customHeight="1" x14ac:dyDescent="0.25">
      <c r="A563" s="2" t="s">
        <v>408</v>
      </c>
      <c r="B563" s="2" t="s">
        <v>409</v>
      </c>
      <c r="C563" s="3">
        <v>0</v>
      </c>
      <c r="D563" s="3">
        <v>0</v>
      </c>
      <c r="E563" s="3">
        <v>0</v>
      </c>
      <c r="F563" s="3">
        <v>1600</v>
      </c>
      <c r="G563" s="5">
        <v>1600</v>
      </c>
    </row>
    <row r="564" spans="1:11" ht="15" customHeight="1" x14ac:dyDescent="0.25">
      <c r="A564" s="2" t="s">
        <v>410</v>
      </c>
      <c r="B564" s="2" t="s">
        <v>411</v>
      </c>
      <c r="C564" s="3">
        <v>166824</v>
      </c>
      <c r="D564" s="3">
        <v>52807.5</v>
      </c>
      <c r="E564" s="3">
        <v>154216.5</v>
      </c>
      <c r="F564" s="3">
        <v>175330</v>
      </c>
      <c r="G564" s="5">
        <v>297500</v>
      </c>
      <c r="H564" t="s">
        <v>3410</v>
      </c>
    </row>
    <row r="565" spans="1:11" ht="15" customHeight="1" x14ac:dyDescent="0.25">
      <c r="A565" s="2" t="s">
        <v>412</v>
      </c>
      <c r="B565" s="2" t="s">
        <v>413</v>
      </c>
      <c r="C565" s="3">
        <v>2400</v>
      </c>
      <c r="D565" s="3">
        <v>918</v>
      </c>
      <c r="E565" s="3">
        <v>1491.5</v>
      </c>
      <c r="F565" s="3">
        <v>2700</v>
      </c>
      <c r="G565" s="5">
        <v>2700</v>
      </c>
    </row>
    <row r="566" spans="1:11" ht="15" customHeight="1" x14ac:dyDescent="0.25">
      <c r="A566" s="1" t="s">
        <v>414</v>
      </c>
      <c r="B566" s="1" t="s">
        <v>2</v>
      </c>
      <c r="C566" s="6">
        <v>4208195.25</v>
      </c>
      <c r="D566" s="6">
        <v>2254375.2999999998</v>
      </c>
      <c r="E566" s="6">
        <f>SUM(E512:E565)</f>
        <v>3641189.6300000031</v>
      </c>
      <c r="F566" s="6">
        <f>SUM(F512:F565)</f>
        <v>4693481.3000000007</v>
      </c>
      <c r="G566" s="6">
        <f>SUM(G512:G565)</f>
        <v>5575890.5687500006</v>
      </c>
    </row>
    <row r="567" spans="1:11" ht="15" customHeight="1" x14ac:dyDescent="0.25">
      <c r="A567" s="1"/>
      <c r="B567" s="1"/>
      <c r="C567" s="6"/>
      <c r="D567" s="6"/>
      <c r="E567" s="6"/>
      <c r="F567" s="6"/>
      <c r="G567" s="6"/>
    </row>
    <row r="568" spans="1:11" ht="15" customHeight="1" x14ac:dyDescent="0.25">
      <c r="A568" s="1" t="s">
        <v>2549</v>
      </c>
      <c r="B568" s="1"/>
      <c r="C568" s="6">
        <f t="shared" ref="C568:F568" si="9">C566+C509+C494</f>
        <v>4511469.5199999996</v>
      </c>
      <c r="D568" s="6">
        <f t="shared" si="9"/>
        <v>2383532.3199999998</v>
      </c>
      <c r="E568" s="6">
        <f>E494+E509+E566</f>
        <v>3869497.4100000029</v>
      </c>
      <c r="F568" s="6">
        <f t="shared" si="9"/>
        <v>4990645.7400000012</v>
      </c>
      <c r="G568" s="6">
        <f>G566+G509+G494</f>
        <v>5913774.5529500004</v>
      </c>
      <c r="K568" s="41"/>
    </row>
    <row r="569" spans="1:11" x14ac:dyDescent="0.25">
      <c r="A569" s="1" t="s">
        <v>2</v>
      </c>
      <c r="B569" s="1" t="s">
        <v>2</v>
      </c>
      <c r="C569" s="1" t="s">
        <v>2</v>
      </c>
      <c r="D569" s="1" t="s">
        <v>2</v>
      </c>
      <c r="E569" s="1"/>
      <c r="F569" s="1" t="s">
        <v>2</v>
      </c>
      <c r="G569" s="1" t="s">
        <v>2</v>
      </c>
      <c r="K569" s="41"/>
    </row>
    <row r="570" spans="1:11" ht="15" customHeight="1" x14ac:dyDescent="0.25">
      <c r="A570" s="1" t="s">
        <v>415</v>
      </c>
      <c r="B570" s="1" t="s">
        <v>2</v>
      </c>
      <c r="K570" s="41"/>
    </row>
    <row r="571" spans="1:11" ht="15" customHeight="1" x14ac:dyDescent="0.25">
      <c r="A571" s="2" t="s">
        <v>416</v>
      </c>
      <c r="B571" s="2" t="s">
        <v>417</v>
      </c>
      <c r="C571" s="3">
        <v>95963.83</v>
      </c>
      <c r="D571" s="3">
        <v>46738.51</v>
      </c>
      <c r="E571" s="3">
        <v>81787.23</v>
      </c>
      <c r="F571" s="3">
        <v>100608.61</v>
      </c>
      <c r="G571" s="5">
        <f>F571*1.055</f>
        <v>106142.08355</v>
      </c>
      <c r="K571" s="41"/>
    </row>
    <row r="572" spans="1:11" ht="15" customHeight="1" x14ac:dyDescent="0.25">
      <c r="A572" s="2" t="s">
        <v>418</v>
      </c>
      <c r="B572" s="2" t="s">
        <v>29</v>
      </c>
      <c r="C572" s="3">
        <v>1673.6</v>
      </c>
      <c r="D572" s="3">
        <v>764.48</v>
      </c>
      <c r="E572" s="3">
        <v>1322.24</v>
      </c>
      <c r="F572" s="3">
        <v>1725.56</v>
      </c>
      <c r="G572" s="5">
        <f t="shared" ref="G572:G576" si="10">F572*1.055</f>
        <v>1820.4657999999999</v>
      </c>
      <c r="K572" s="41"/>
    </row>
    <row r="573" spans="1:11" ht="15" customHeight="1" x14ac:dyDescent="0.25">
      <c r="A573" s="2" t="s">
        <v>419</v>
      </c>
      <c r="B573" s="2" t="s">
        <v>31</v>
      </c>
      <c r="C573" s="3">
        <v>227.17</v>
      </c>
      <c r="D573" s="3">
        <v>98.12</v>
      </c>
      <c r="E573" s="3">
        <v>165.95</v>
      </c>
      <c r="F573" s="3">
        <v>277.48</v>
      </c>
      <c r="G573" s="5">
        <f t="shared" si="10"/>
        <v>292.7414</v>
      </c>
      <c r="K573" s="41"/>
    </row>
    <row r="574" spans="1:11" ht="15" customHeight="1" x14ac:dyDescent="0.25">
      <c r="A574" s="2" t="s">
        <v>420</v>
      </c>
      <c r="B574" s="2" t="s">
        <v>33</v>
      </c>
      <c r="C574" s="3">
        <v>11224.42</v>
      </c>
      <c r="D574" s="3">
        <v>5121.03</v>
      </c>
      <c r="E574" s="3">
        <v>8901.0300000000007</v>
      </c>
      <c r="F574" s="3">
        <v>10754.83</v>
      </c>
      <c r="G574" s="5">
        <f t="shared" si="10"/>
        <v>11346.345649999999</v>
      </c>
      <c r="K574" s="41"/>
    </row>
    <row r="575" spans="1:11" ht="15" customHeight="1" x14ac:dyDescent="0.25">
      <c r="A575" s="2" t="s">
        <v>421</v>
      </c>
      <c r="B575" s="2" t="s">
        <v>11</v>
      </c>
      <c r="C575" s="3">
        <v>7341.22</v>
      </c>
      <c r="D575" s="3">
        <v>3575.51</v>
      </c>
      <c r="E575" s="3">
        <v>6256.76</v>
      </c>
      <c r="F575" s="3">
        <v>7696.56</v>
      </c>
      <c r="G575" s="5">
        <f t="shared" si="10"/>
        <v>8119.8707999999997</v>
      </c>
      <c r="K575" s="41"/>
    </row>
    <row r="576" spans="1:11" ht="15" customHeight="1" x14ac:dyDescent="0.25">
      <c r="A576" s="2" t="s">
        <v>422</v>
      </c>
      <c r="B576" s="2" t="s">
        <v>423</v>
      </c>
      <c r="C576" s="3">
        <v>140.83000000000001</v>
      </c>
      <c r="D576" s="3">
        <v>99.84</v>
      </c>
      <c r="E576" s="3">
        <v>173.87</v>
      </c>
      <c r="F576" s="3">
        <v>147.88999999999999</v>
      </c>
      <c r="G576" s="5">
        <f t="shared" si="10"/>
        <v>156.02394999999999</v>
      </c>
    </row>
    <row r="577" spans="1:7" ht="15" customHeight="1" x14ac:dyDescent="0.25">
      <c r="A577" s="2" t="s">
        <v>424</v>
      </c>
      <c r="B577" s="2" t="s">
        <v>37</v>
      </c>
      <c r="C577" s="3">
        <v>558.83000000000004</v>
      </c>
      <c r="D577" s="3">
        <v>0</v>
      </c>
      <c r="E577" s="3">
        <v>0</v>
      </c>
      <c r="F577" s="3">
        <v>250</v>
      </c>
      <c r="G577" s="5">
        <v>250</v>
      </c>
    </row>
    <row r="578" spans="1:7" ht="15" customHeight="1" x14ac:dyDescent="0.25">
      <c r="A578" s="2" t="s">
        <v>425</v>
      </c>
      <c r="B578" s="2" t="s">
        <v>426</v>
      </c>
      <c r="C578" s="3">
        <v>0</v>
      </c>
      <c r="D578" s="3">
        <v>0</v>
      </c>
      <c r="E578" s="3">
        <v>0</v>
      </c>
      <c r="F578" s="3">
        <v>350</v>
      </c>
      <c r="G578" s="5">
        <v>350</v>
      </c>
    </row>
    <row r="579" spans="1:7" ht="15" customHeight="1" x14ac:dyDescent="0.25">
      <c r="A579" s="2" t="s">
        <v>427</v>
      </c>
      <c r="B579" s="2" t="s">
        <v>198</v>
      </c>
      <c r="C579" s="3">
        <v>1067.74</v>
      </c>
      <c r="D579" s="3">
        <v>1265.71</v>
      </c>
      <c r="E579" s="3">
        <v>1265.71</v>
      </c>
      <c r="F579" s="3">
        <v>1265.71</v>
      </c>
      <c r="G579" s="5">
        <v>1300</v>
      </c>
    </row>
    <row r="580" spans="1:7" ht="15" customHeight="1" x14ac:dyDescent="0.25">
      <c r="A580" s="2" t="s">
        <v>428</v>
      </c>
      <c r="B580" s="2" t="s">
        <v>95</v>
      </c>
      <c r="C580" s="3">
        <v>145.19999999999999</v>
      </c>
      <c r="D580" s="3">
        <v>28.9</v>
      </c>
      <c r="E580" s="3">
        <v>53.1</v>
      </c>
      <c r="F580" s="3">
        <v>2000</v>
      </c>
      <c r="G580" s="5">
        <v>2000</v>
      </c>
    </row>
    <row r="581" spans="1:7" ht="15" customHeight="1" x14ac:dyDescent="0.25">
      <c r="A581" s="2" t="s">
        <v>429</v>
      </c>
      <c r="B581" s="2" t="s">
        <v>17</v>
      </c>
      <c r="C581" s="3">
        <v>0</v>
      </c>
      <c r="D581" s="3">
        <v>0</v>
      </c>
      <c r="E581" s="3">
        <v>0</v>
      </c>
      <c r="F581" s="3">
        <v>850</v>
      </c>
      <c r="G581" s="5">
        <v>850</v>
      </c>
    </row>
    <row r="582" spans="1:7" ht="15" customHeight="1" x14ac:dyDescent="0.25">
      <c r="A582" s="2" t="s">
        <v>430</v>
      </c>
      <c r="B582" s="2" t="s">
        <v>64</v>
      </c>
      <c r="C582" s="3">
        <v>40</v>
      </c>
      <c r="D582" s="3">
        <v>40</v>
      </c>
      <c r="E582" s="3">
        <v>40</v>
      </c>
      <c r="F582" s="3">
        <v>350</v>
      </c>
      <c r="G582" s="5">
        <v>350</v>
      </c>
    </row>
    <row r="583" spans="1:7" ht="15" customHeight="1" x14ac:dyDescent="0.25">
      <c r="A583" s="2" t="s">
        <v>431</v>
      </c>
      <c r="B583" s="2" t="s">
        <v>66</v>
      </c>
      <c r="C583" s="3">
        <v>0</v>
      </c>
      <c r="D583" s="3">
        <v>0</v>
      </c>
      <c r="E583" s="3">
        <v>0</v>
      </c>
      <c r="F583" s="3">
        <v>200</v>
      </c>
      <c r="G583" s="5">
        <v>200</v>
      </c>
    </row>
    <row r="584" spans="1:7" ht="15" customHeight="1" x14ac:dyDescent="0.25">
      <c r="A584" s="2"/>
      <c r="B584" s="2"/>
      <c r="C584" s="3"/>
      <c r="D584" s="3"/>
      <c r="E584" s="3"/>
      <c r="F584" s="3"/>
      <c r="G584" s="5"/>
    </row>
    <row r="585" spans="1:7" ht="15" customHeight="1" x14ac:dyDescent="0.25">
      <c r="A585" s="1" t="s">
        <v>432</v>
      </c>
      <c r="B585" s="1" t="s">
        <v>2</v>
      </c>
    </row>
    <row r="586" spans="1:7" ht="15" customHeight="1" x14ac:dyDescent="0.25">
      <c r="A586" s="2" t="s">
        <v>433</v>
      </c>
      <c r="B586" s="2" t="s">
        <v>434</v>
      </c>
      <c r="C586" s="3">
        <v>218619.71</v>
      </c>
      <c r="D586" s="3">
        <v>77113.570000000007</v>
      </c>
      <c r="E586" s="3">
        <v>203518.26</v>
      </c>
      <c r="F586" s="3">
        <v>260000</v>
      </c>
      <c r="G586" s="55">
        <v>260000</v>
      </c>
    </row>
    <row r="587" spans="1:7" ht="15" customHeight="1" x14ac:dyDescent="0.25">
      <c r="A587" s="1" t="s">
        <v>435</v>
      </c>
      <c r="B587" s="1" t="s">
        <v>2</v>
      </c>
      <c r="C587" s="4">
        <v>218619.71</v>
      </c>
      <c r="D587" s="4">
        <v>77113.570000000007</v>
      </c>
      <c r="E587" s="4">
        <f>E586</f>
        <v>203518.26</v>
      </c>
      <c r="F587" s="6">
        <f>SUM(F586)</f>
        <v>260000</v>
      </c>
      <c r="G587" s="6">
        <f>SUM(G586)</f>
        <v>260000</v>
      </c>
    </row>
    <row r="588" spans="1:7" x14ac:dyDescent="0.25">
      <c r="A588" s="1" t="s">
        <v>2</v>
      </c>
      <c r="B588" s="1" t="s">
        <v>2</v>
      </c>
      <c r="C588" s="1" t="s">
        <v>2</v>
      </c>
      <c r="D588" s="1" t="s">
        <v>2</v>
      </c>
      <c r="E588" s="1"/>
      <c r="F588" s="1" t="s">
        <v>2</v>
      </c>
      <c r="G588" s="1" t="s">
        <v>2</v>
      </c>
    </row>
    <row r="589" spans="1:7" ht="15" customHeight="1" x14ac:dyDescent="0.25">
      <c r="A589" s="1" t="s">
        <v>436</v>
      </c>
      <c r="B589" s="1" t="s">
        <v>2</v>
      </c>
      <c r="C589" s="6">
        <v>337002.55</v>
      </c>
      <c r="D589" s="6">
        <v>134845.67000000001</v>
      </c>
      <c r="E589" s="6">
        <f>SUM(E571:E583)+E586</f>
        <v>303484.15000000002</v>
      </c>
      <c r="F589" s="6">
        <f>SUM(F571:F583)+F587</f>
        <v>386476.64</v>
      </c>
      <c r="G589" s="6">
        <f>SUM(G571:G583)+G587</f>
        <v>393177.53115</v>
      </c>
    </row>
    <row r="590" spans="1:7" x14ac:dyDescent="0.25">
      <c r="A590" s="1" t="s">
        <v>2</v>
      </c>
      <c r="B590" s="1" t="s">
        <v>2</v>
      </c>
      <c r="C590" s="1" t="s">
        <v>2</v>
      </c>
      <c r="D590" s="1" t="s">
        <v>2</v>
      </c>
      <c r="E590" s="1"/>
      <c r="F590" s="1" t="s">
        <v>2</v>
      </c>
      <c r="G590" s="1" t="s">
        <v>2</v>
      </c>
    </row>
    <row r="591" spans="1:7" ht="15" customHeight="1" x14ac:dyDescent="0.25">
      <c r="A591" s="1" t="s">
        <v>437</v>
      </c>
      <c r="B591" s="1" t="s">
        <v>2</v>
      </c>
    </row>
    <row r="592" spans="1:7" x14ac:dyDescent="0.25">
      <c r="A592" s="2" t="s">
        <v>438</v>
      </c>
      <c r="B592" s="2" t="s">
        <v>439</v>
      </c>
      <c r="C592" s="3">
        <v>0</v>
      </c>
      <c r="D592" s="3">
        <v>0</v>
      </c>
      <c r="E592" s="3">
        <v>0</v>
      </c>
      <c r="F592" s="3">
        <v>93125.16</v>
      </c>
      <c r="G592" s="5">
        <f>F592*1.055</f>
        <v>98247.043799999999</v>
      </c>
    </row>
    <row r="593" spans="1:7" ht="15" customHeight="1" x14ac:dyDescent="0.25">
      <c r="A593" s="2" t="s">
        <v>440</v>
      </c>
      <c r="B593" s="2" t="s">
        <v>441</v>
      </c>
      <c r="C593" s="3">
        <v>74675.75</v>
      </c>
      <c r="D593" s="3">
        <v>36195.89</v>
      </c>
      <c r="E593" s="3">
        <v>62691.81</v>
      </c>
      <c r="F593" s="3">
        <v>76630.48</v>
      </c>
      <c r="G593" s="5">
        <f t="shared" ref="G593:G601" si="11">F593*1.055</f>
        <v>80845.156399999993</v>
      </c>
    </row>
    <row r="594" spans="1:7" ht="15" customHeight="1" x14ac:dyDescent="0.25">
      <c r="A594" s="2" t="s">
        <v>442</v>
      </c>
      <c r="B594" s="2" t="s">
        <v>443</v>
      </c>
      <c r="C594" s="3">
        <v>170232.37</v>
      </c>
      <c r="D594" s="3">
        <v>80686.12</v>
      </c>
      <c r="E594" s="3">
        <v>140026.84</v>
      </c>
      <c r="F594" s="3">
        <v>84235.13</v>
      </c>
      <c r="G594" s="5">
        <f t="shared" si="11"/>
        <v>88868.062149999998</v>
      </c>
    </row>
    <row r="595" spans="1:7" ht="15" customHeight="1" x14ac:dyDescent="0.25">
      <c r="A595" s="2" t="s">
        <v>444</v>
      </c>
      <c r="B595" s="2" t="s">
        <v>445</v>
      </c>
      <c r="C595" s="3">
        <v>65834.2</v>
      </c>
      <c r="D595" s="3">
        <v>30961.55</v>
      </c>
      <c r="E595" s="3">
        <v>53666.95</v>
      </c>
      <c r="F595" s="3">
        <v>68358.16</v>
      </c>
      <c r="G595" s="5">
        <f t="shared" si="11"/>
        <v>72117.858800000002</v>
      </c>
    </row>
    <row r="596" spans="1:7" ht="15" customHeight="1" x14ac:dyDescent="0.25">
      <c r="A596" s="2" t="s">
        <v>446</v>
      </c>
      <c r="B596" s="2" t="s">
        <v>447</v>
      </c>
      <c r="C596" s="3">
        <v>50115.93</v>
      </c>
      <c r="D596" s="3">
        <v>24309.82</v>
      </c>
      <c r="E596" s="3">
        <v>41996.54</v>
      </c>
      <c r="F596" s="3">
        <v>53697.06</v>
      </c>
      <c r="G596" s="5">
        <f t="shared" si="11"/>
        <v>56650.398299999993</v>
      </c>
    </row>
    <row r="597" spans="1:7" ht="15" customHeight="1" x14ac:dyDescent="0.25">
      <c r="A597" s="2" t="s">
        <v>448</v>
      </c>
      <c r="B597" s="2" t="s">
        <v>449</v>
      </c>
      <c r="C597" s="3">
        <v>5776.2</v>
      </c>
      <c r="D597" s="3">
        <v>1951.09</v>
      </c>
      <c r="E597" s="3">
        <v>3448.83</v>
      </c>
      <c r="F597" s="3">
        <v>6195.28</v>
      </c>
      <c r="G597" s="5">
        <f t="shared" si="11"/>
        <v>6536.0203999999994</v>
      </c>
    </row>
    <row r="598" spans="1:7" ht="15" customHeight="1" x14ac:dyDescent="0.25">
      <c r="A598" s="2" t="s">
        <v>450</v>
      </c>
      <c r="B598" s="2" t="s">
        <v>451</v>
      </c>
      <c r="C598" s="3">
        <v>40079.78</v>
      </c>
      <c r="D598" s="3">
        <v>17266.61</v>
      </c>
      <c r="E598" s="3">
        <v>30274.44</v>
      </c>
      <c r="F598" s="3">
        <v>36867.5</v>
      </c>
      <c r="G598" s="5">
        <f t="shared" si="11"/>
        <v>38895.212499999994</v>
      </c>
    </row>
    <row r="599" spans="1:7" ht="15" customHeight="1" x14ac:dyDescent="0.25">
      <c r="A599" s="2" t="s">
        <v>452</v>
      </c>
      <c r="B599" s="2" t="s">
        <v>453</v>
      </c>
      <c r="C599" s="3">
        <v>23622.799999999999</v>
      </c>
      <c r="D599" s="3">
        <v>11237.02</v>
      </c>
      <c r="E599" s="3">
        <v>19487.3</v>
      </c>
      <c r="F599" s="3">
        <v>24659.69</v>
      </c>
      <c r="G599" s="5">
        <f t="shared" si="11"/>
        <v>26015.972949999996</v>
      </c>
    </row>
    <row r="600" spans="1:7" ht="15" customHeight="1" x14ac:dyDescent="0.25">
      <c r="A600" s="2" t="s">
        <v>454</v>
      </c>
      <c r="B600" s="2" t="s">
        <v>455</v>
      </c>
      <c r="C600" s="3">
        <v>455.71</v>
      </c>
      <c r="D600" s="3">
        <v>315.72000000000003</v>
      </c>
      <c r="E600" s="3">
        <v>546.45000000000005</v>
      </c>
      <c r="F600" s="3">
        <v>473.85</v>
      </c>
      <c r="G600" s="5">
        <f t="shared" si="11"/>
        <v>499.91174999999998</v>
      </c>
    </row>
    <row r="601" spans="1:7" ht="15" customHeight="1" x14ac:dyDescent="0.25">
      <c r="A601" s="2" t="s">
        <v>456</v>
      </c>
      <c r="B601" s="2" t="s">
        <v>85</v>
      </c>
      <c r="C601" s="3">
        <v>3300</v>
      </c>
      <c r="D601" s="3">
        <v>3300</v>
      </c>
      <c r="E601" s="3">
        <v>3300</v>
      </c>
      <c r="F601" s="3">
        <v>3300</v>
      </c>
      <c r="G601" s="5">
        <f t="shared" si="11"/>
        <v>3481.5</v>
      </c>
    </row>
    <row r="602" spans="1:7" ht="15" customHeight="1" x14ac:dyDescent="0.25">
      <c r="A602" s="2" t="s">
        <v>457</v>
      </c>
      <c r="B602" s="2" t="s">
        <v>458</v>
      </c>
      <c r="C602" s="3">
        <v>825</v>
      </c>
      <c r="D602" s="3">
        <v>313.08</v>
      </c>
      <c r="E602" s="3">
        <v>542.39</v>
      </c>
      <c r="F602" s="3">
        <v>825</v>
      </c>
      <c r="G602" s="5">
        <v>800</v>
      </c>
    </row>
    <row r="603" spans="1:7" ht="15" customHeight="1" x14ac:dyDescent="0.25">
      <c r="A603" s="2" t="s">
        <v>459</v>
      </c>
      <c r="B603" s="2" t="s">
        <v>37</v>
      </c>
      <c r="C603" s="3">
        <v>272.8</v>
      </c>
      <c r="D603" s="3">
        <v>143.86000000000001</v>
      </c>
      <c r="E603" s="3">
        <v>249.6</v>
      </c>
      <c r="F603" s="3">
        <v>1000</v>
      </c>
      <c r="G603" s="5">
        <v>800</v>
      </c>
    </row>
    <row r="604" spans="1:7" ht="15" customHeight="1" x14ac:dyDescent="0.25">
      <c r="A604" s="2" t="s">
        <v>460</v>
      </c>
      <c r="B604" s="2" t="s">
        <v>39</v>
      </c>
      <c r="C604" s="3">
        <v>0</v>
      </c>
      <c r="D604" s="3">
        <v>16.850000000000001</v>
      </c>
      <c r="E604" s="3">
        <v>16.850000000000001</v>
      </c>
      <c r="F604" s="3">
        <v>0</v>
      </c>
      <c r="G604" s="5">
        <v>0</v>
      </c>
    </row>
    <row r="605" spans="1:7" ht="15" customHeight="1" x14ac:dyDescent="0.25">
      <c r="A605" s="2" t="s">
        <v>461</v>
      </c>
      <c r="B605" s="2" t="s">
        <v>462</v>
      </c>
      <c r="C605" s="3">
        <v>0</v>
      </c>
      <c r="D605" s="3">
        <v>0</v>
      </c>
      <c r="E605" s="3">
        <v>0</v>
      </c>
      <c r="F605" s="3">
        <v>1000</v>
      </c>
      <c r="G605" s="5">
        <v>800</v>
      </c>
    </row>
    <row r="606" spans="1:7" ht="15" customHeight="1" x14ac:dyDescent="0.25">
      <c r="A606" s="2" t="s">
        <v>463</v>
      </c>
      <c r="B606" s="2" t="s">
        <v>464</v>
      </c>
      <c r="C606" s="3">
        <v>0</v>
      </c>
      <c r="D606" s="3">
        <v>0</v>
      </c>
      <c r="E606" s="3">
        <v>0</v>
      </c>
      <c r="F606" s="3">
        <v>0</v>
      </c>
      <c r="G606" s="5">
        <v>0</v>
      </c>
    </row>
    <row r="607" spans="1:7" x14ac:dyDescent="0.25">
      <c r="A607" s="2" t="s">
        <v>465</v>
      </c>
      <c r="B607" s="2" t="s">
        <v>466</v>
      </c>
      <c r="C607" s="3">
        <v>15259.5</v>
      </c>
      <c r="D607" s="3">
        <v>9272.7999999999993</v>
      </c>
      <c r="E607" s="3">
        <v>9272.7999999999993</v>
      </c>
      <c r="F607" s="3">
        <v>9272.7999999999993</v>
      </c>
      <c r="G607" s="56">
        <v>15259.5</v>
      </c>
    </row>
    <row r="608" spans="1:7" x14ac:dyDescent="0.25">
      <c r="A608" s="2" t="s">
        <v>467</v>
      </c>
      <c r="B608" s="2" t="s">
        <v>468</v>
      </c>
      <c r="C608" s="3">
        <v>14695.12</v>
      </c>
      <c r="D608" s="3">
        <v>5062.84</v>
      </c>
      <c r="E608" s="3">
        <v>5062.84</v>
      </c>
      <c r="F608" s="3">
        <v>5062.84</v>
      </c>
      <c r="G608" s="5">
        <v>6000</v>
      </c>
    </row>
    <row r="609" spans="1:7" ht="15" customHeight="1" x14ac:dyDescent="0.25">
      <c r="A609" s="2" t="s">
        <v>469</v>
      </c>
      <c r="B609" s="2" t="s">
        <v>57</v>
      </c>
      <c r="C609" s="3">
        <v>3743.33</v>
      </c>
      <c r="D609" s="3">
        <v>1084.0999999999999</v>
      </c>
      <c r="E609" s="3">
        <v>1997.14</v>
      </c>
      <c r="F609" s="3">
        <v>3800</v>
      </c>
      <c r="G609" s="5">
        <v>3800</v>
      </c>
    </row>
    <row r="610" spans="1:7" ht="15" customHeight="1" x14ac:dyDescent="0.25">
      <c r="A610" s="2" t="s">
        <v>470</v>
      </c>
      <c r="B610" s="2" t="s">
        <v>17</v>
      </c>
      <c r="C610" s="3">
        <v>917.09</v>
      </c>
      <c r="D610" s="3">
        <v>1363.28</v>
      </c>
      <c r="E610" s="3">
        <v>2510.2199999999998</v>
      </c>
      <c r="F610" s="3">
        <v>3000</v>
      </c>
      <c r="G610" s="5">
        <v>3000</v>
      </c>
    </row>
    <row r="611" spans="1:7" ht="15" customHeight="1" x14ac:dyDescent="0.25">
      <c r="A611" s="2" t="s">
        <v>471</v>
      </c>
      <c r="B611" s="2" t="s">
        <v>472</v>
      </c>
      <c r="C611" s="3">
        <v>0</v>
      </c>
      <c r="D611" s="3">
        <v>0</v>
      </c>
      <c r="E611" s="3">
        <v>0</v>
      </c>
      <c r="F611" s="3">
        <v>0</v>
      </c>
      <c r="G611" s="5">
        <v>0</v>
      </c>
    </row>
    <row r="612" spans="1:7" ht="15" customHeight="1" x14ac:dyDescent="0.25">
      <c r="A612" s="2" t="s">
        <v>473</v>
      </c>
      <c r="B612" s="2" t="s">
        <v>64</v>
      </c>
      <c r="C612" s="3">
        <v>2380.5500000000002</v>
      </c>
      <c r="D612" s="3">
        <v>277</v>
      </c>
      <c r="E612" s="3">
        <v>1018.51</v>
      </c>
      <c r="F612" s="3">
        <v>2000</v>
      </c>
      <c r="G612" s="5">
        <v>2500</v>
      </c>
    </row>
    <row r="613" spans="1:7" ht="15" customHeight="1" x14ac:dyDescent="0.25">
      <c r="A613" s="2" t="s">
        <v>474</v>
      </c>
      <c r="B613" s="2" t="s">
        <v>66</v>
      </c>
      <c r="C613" s="3">
        <v>1190.8699999999999</v>
      </c>
      <c r="D613" s="3">
        <v>550</v>
      </c>
      <c r="E613" s="3">
        <v>900</v>
      </c>
      <c r="F613" s="3">
        <v>2500</v>
      </c>
      <c r="G613" s="5">
        <v>2500</v>
      </c>
    </row>
    <row r="614" spans="1:7" ht="15" customHeight="1" x14ac:dyDescent="0.25">
      <c r="A614" s="1" t="s">
        <v>475</v>
      </c>
      <c r="B614" s="1" t="s">
        <v>2</v>
      </c>
      <c r="C614" s="6">
        <v>473377</v>
      </c>
      <c r="D614" s="6">
        <v>224307.63</v>
      </c>
      <c r="E614" s="6">
        <f>SUM(E592:E613)</f>
        <v>377009.50999999995</v>
      </c>
      <c r="F614" s="6">
        <f>SUM(F592:F613)</f>
        <v>476002.95000000007</v>
      </c>
      <c r="G614" s="6">
        <f>SUM(G592:G613)</f>
        <v>507616.63704999996</v>
      </c>
    </row>
    <row r="615" spans="1:7" x14ac:dyDescent="0.25">
      <c r="A615" s="1" t="s">
        <v>2</v>
      </c>
      <c r="B615" s="1" t="s">
        <v>2</v>
      </c>
      <c r="C615" s="1" t="s">
        <v>2</v>
      </c>
      <c r="D615" s="1" t="s">
        <v>2</v>
      </c>
      <c r="E615" s="1"/>
      <c r="F615" s="1" t="s">
        <v>2</v>
      </c>
      <c r="G615" s="1" t="s">
        <v>2</v>
      </c>
    </row>
    <row r="616" spans="1:7" ht="15" customHeight="1" x14ac:dyDescent="0.25">
      <c r="A616" s="1" t="s">
        <v>476</v>
      </c>
      <c r="B616" s="1" t="s">
        <v>2</v>
      </c>
    </row>
    <row r="617" spans="1:7" ht="15" customHeight="1" x14ac:dyDescent="0.25">
      <c r="A617" s="2" t="s">
        <v>477</v>
      </c>
      <c r="B617" s="2" t="s">
        <v>478</v>
      </c>
      <c r="C617" s="3">
        <v>42308</v>
      </c>
      <c r="D617" s="3">
        <v>43725</v>
      </c>
      <c r="E617" s="3">
        <v>43725</v>
      </c>
      <c r="F617" s="3">
        <v>45000</v>
      </c>
      <c r="G617" s="5">
        <v>45000</v>
      </c>
    </row>
    <row r="618" spans="1:7" x14ac:dyDescent="0.25">
      <c r="A618" s="2" t="s">
        <v>479</v>
      </c>
      <c r="B618" s="2" t="s">
        <v>480</v>
      </c>
      <c r="C618" s="3">
        <v>156686.39000000001</v>
      </c>
      <c r="D618" s="3">
        <v>55191.519999999997</v>
      </c>
      <c r="E618" s="3">
        <v>118425.45</v>
      </c>
      <c r="F618" s="3">
        <v>135072</v>
      </c>
      <c r="G618" s="5">
        <v>135000</v>
      </c>
    </row>
    <row r="619" spans="1:7" ht="15" customHeight="1" x14ac:dyDescent="0.25">
      <c r="A619" s="1" t="s">
        <v>481</v>
      </c>
      <c r="B619" s="1" t="s">
        <v>2</v>
      </c>
      <c r="C619" s="6">
        <v>198994.39</v>
      </c>
      <c r="D619" s="6">
        <v>98916.52</v>
      </c>
      <c r="E619" s="6">
        <f>SUM(E617:E618)</f>
        <v>162150.45000000001</v>
      </c>
      <c r="F619" s="6">
        <f>SUM(F617:F618)</f>
        <v>180072</v>
      </c>
      <c r="G619" s="6">
        <f>SUM(G617:G618)</f>
        <v>180000</v>
      </c>
    </row>
    <row r="620" spans="1:7" x14ac:dyDescent="0.25">
      <c r="A620" s="1" t="s">
        <v>2</v>
      </c>
      <c r="B620" s="1" t="s">
        <v>2</v>
      </c>
      <c r="C620" s="1" t="s">
        <v>2</v>
      </c>
      <c r="D620" s="1" t="s">
        <v>2</v>
      </c>
      <c r="E620" s="1"/>
      <c r="F620" s="1" t="s">
        <v>2</v>
      </c>
      <c r="G620" s="1" t="s">
        <v>2</v>
      </c>
    </row>
    <row r="621" spans="1:7" ht="15" customHeight="1" x14ac:dyDescent="0.25">
      <c r="A621" s="1" t="s">
        <v>482</v>
      </c>
      <c r="B621" s="1" t="s">
        <v>2</v>
      </c>
    </row>
    <row r="622" spans="1:7" ht="15" customHeight="1" x14ac:dyDescent="0.25">
      <c r="A622" s="2" t="s">
        <v>483</v>
      </c>
      <c r="B622" s="2" t="s">
        <v>484</v>
      </c>
      <c r="C622" s="3">
        <v>32710.95</v>
      </c>
      <c r="D622" s="3">
        <v>7890.15</v>
      </c>
      <c r="E622" s="3">
        <v>10103.56</v>
      </c>
      <c r="F622" s="3">
        <v>89618.35</v>
      </c>
      <c r="G622" s="5">
        <f>F622*1.055</f>
        <v>94547.359249999994</v>
      </c>
    </row>
    <row r="623" spans="1:7" ht="15" customHeight="1" x14ac:dyDescent="0.25">
      <c r="A623" s="2" t="s">
        <v>485</v>
      </c>
      <c r="B623" s="2" t="s">
        <v>486</v>
      </c>
      <c r="C623" s="3">
        <v>2240.69</v>
      </c>
      <c r="D623" s="3">
        <v>713.94</v>
      </c>
      <c r="E623" s="3">
        <v>1365.67</v>
      </c>
      <c r="F623" s="3">
        <v>1736.83</v>
      </c>
      <c r="G623" s="5">
        <f t="shared" ref="G623:G638" si="12">F623*1.055</f>
        <v>1832.3556499999997</v>
      </c>
    </row>
    <row r="624" spans="1:7" ht="15" customHeight="1" x14ac:dyDescent="0.25">
      <c r="A624" s="2" t="s">
        <v>487</v>
      </c>
      <c r="B624" s="2" t="s">
        <v>488</v>
      </c>
      <c r="C624" s="3">
        <v>533.11</v>
      </c>
      <c r="D624" s="3">
        <v>456.88</v>
      </c>
      <c r="E624" s="3">
        <v>667.2</v>
      </c>
      <c r="F624" s="3">
        <v>714.1</v>
      </c>
      <c r="G624" s="5">
        <f t="shared" si="12"/>
        <v>753.37549999999999</v>
      </c>
    </row>
    <row r="625" spans="1:7" x14ac:dyDescent="0.25">
      <c r="A625" s="2" t="s">
        <v>489</v>
      </c>
      <c r="B625" s="2" t="s">
        <v>490</v>
      </c>
      <c r="C625" s="3">
        <v>8941.56</v>
      </c>
      <c r="D625" s="3">
        <v>2097.6</v>
      </c>
      <c r="E625" s="3">
        <v>2702.84</v>
      </c>
      <c r="F625" s="3">
        <v>32605.040000000001</v>
      </c>
      <c r="G625" s="5">
        <f t="shared" si="12"/>
        <v>34398.317199999998</v>
      </c>
    </row>
    <row r="626" spans="1:7" ht="15" customHeight="1" x14ac:dyDescent="0.25">
      <c r="A626" s="2" t="s">
        <v>491</v>
      </c>
      <c r="B626" s="2" t="s">
        <v>492</v>
      </c>
      <c r="C626" s="3">
        <v>797.65</v>
      </c>
      <c r="D626" s="3">
        <v>123.84</v>
      </c>
      <c r="E626" s="3">
        <v>161.97999999999999</v>
      </c>
      <c r="F626" s="3">
        <v>2268.4899999999998</v>
      </c>
      <c r="G626" s="5">
        <f t="shared" si="12"/>
        <v>2393.2569499999995</v>
      </c>
    </row>
    <row r="627" spans="1:7" ht="15" customHeight="1" x14ac:dyDescent="0.25">
      <c r="A627" s="2" t="s">
        <v>493</v>
      </c>
      <c r="B627" s="2" t="s">
        <v>494</v>
      </c>
      <c r="C627" s="3">
        <v>3922.48</v>
      </c>
      <c r="D627" s="3">
        <v>937.39</v>
      </c>
      <c r="E627" s="3">
        <v>1197.6500000000001</v>
      </c>
      <c r="F627" s="3">
        <v>11006.04</v>
      </c>
      <c r="G627" s="5">
        <f t="shared" si="12"/>
        <v>11611.3722</v>
      </c>
    </row>
    <row r="628" spans="1:7" x14ac:dyDescent="0.25">
      <c r="A628" s="2" t="s">
        <v>495</v>
      </c>
      <c r="B628" s="2" t="s">
        <v>496</v>
      </c>
      <c r="C628" s="3">
        <v>2468.2199999999998</v>
      </c>
      <c r="D628" s="3">
        <v>596.48</v>
      </c>
      <c r="E628" s="3">
        <v>763.67</v>
      </c>
      <c r="F628" s="3">
        <v>6855.8</v>
      </c>
      <c r="G628" s="5">
        <f t="shared" si="12"/>
        <v>7232.8689999999997</v>
      </c>
    </row>
    <row r="629" spans="1:7" ht="15" customHeight="1" x14ac:dyDescent="0.25">
      <c r="A629" s="2" t="s">
        <v>497</v>
      </c>
      <c r="B629" s="2" t="s">
        <v>498</v>
      </c>
      <c r="C629" s="3">
        <v>424.65</v>
      </c>
      <c r="D629" s="3">
        <v>149.9</v>
      </c>
      <c r="E629" s="3">
        <v>306.66000000000003</v>
      </c>
      <c r="F629" s="3">
        <v>450.55</v>
      </c>
      <c r="G629" s="5">
        <f t="shared" si="12"/>
        <v>475.33024999999998</v>
      </c>
    </row>
    <row r="630" spans="1:7" ht="15" customHeight="1" x14ac:dyDescent="0.25">
      <c r="A630" s="2" t="s">
        <v>499</v>
      </c>
      <c r="B630" s="2" t="s">
        <v>500</v>
      </c>
      <c r="C630" s="3">
        <v>45.43</v>
      </c>
      <c r="D630" s="3">
        <v>8.68</v>
      </c>
      <c r="E630" s="3">
        <v>20.92</v>
      </c>
      <c r="F630" s="3">
        <v>39.450000000000003</v>
      </c>
      <c r="G630" s="5">
        <f t="shared" si="12"/>
        <v>41.619750000000003</v>
      </c>
    </row>
    <row r="631" spans="1:7" ht="15" customHeight="1" x14ac:dyDescent="0.25">
      <c r="A631" s="2" t="s">
        <v>501</v>
      </c>
      <c r="B631" s="2" t="s">
        <v>502</v>
      </c>
      <c r="C631" s="3">
        <v>290.86</v>
      </c>
      <c r="D631" s="3">
        <v>79.52</v>
      </c>
      <c r="E631" s="3">
        <v>156.63999999999999</v>
      </c>
      <c r="F631" s="3">
        <v>206.22</v>
      </c>
      <c r="G631" s="5">
        <f t="shared" si="12"/>
        <v>217.56209999999999</v>
      </c>
    </row>
    <row r="632" spans="1:7" ht="15" customHeight="1" x14ac:dyDescent="0.25">
      <c r="A632" s="2" t="s">
        <v>503</v>
      </c>
      <c r="B632" s="2" t="s">
        <v>504</v>
      </c>
      <c r="C632" s="3">
        <v>170.13</v>
      </c>
      <c r="D632" s="3">
        <v>53.91</v>
      </c>
      <c r="E632" s="3">
        <v>103.39</v>
      </c>
      <c r="F632" s="3">
        <v>132.87</v>
      </c>
      <c r="G632" s="5">
        <f t="shared" si="12"/>
        <v>140.17785000000001</v>
      </c>
    </row>
    <row r="633" spans="1:7" ht="15" customHeight="1" x14ac:dyDescent="0.25">
      <c r="A633" s="2" t="s">
        <v>505</v>
      </c>
      <c r="B633" s="2" t="s">
        <v>85</v>
      </c>
      <c r="C633" s="3">
        <v>361.21</v>
      </c>
      <c r="D633" s="3">
        <v>330.2</v>
      </c>
      <c r="E633" s="3">
        <v>330.2</v>
      </c>
      <c r="F633" s="3">
        <v>51</v>
      </c>
      <c r="G633" s="5">
        <f t="shared" si="12"/>
        <v>53.805</v>
      </c>
    </row>
    <row r="634" spans="1:7" ht="15" customHeight="1" x14ac:dyDescent="0.25">
      <c r="A634" s="2" t="s">
        <v>506</v>
      </c>
      <c r="B634" s="2" t="s">
        <v>507</v>
      </c>
      <c r="C634" s="3">
        <v>13.04</v>
      </c>
      <c r="D634" s="3">
        <v>7.9</v>
      </c>
      <c r="E634" s="3">
        <v>12.13</v>
      </c>
      <c r="F634" s="3">
        <v>19.73</v>
      </c>
      <c r="G634" s="5">
        <f t="shared" si="12"/>
        <v>20.815149999999999</v>
      </c>
    </row>
    <row r="635" spans="1:7" x14ac:dyDescent="0.25">
      <c r="A635" s="2" t="s">
        <v>508</v>
      </c>
      <c r="B635" s="2" t="s">
        <v>509</v>
      </c>
      <c r="C635" s="3">
        <v>72.64</v>
      </c>
      <c r="D635" s="3">
        <v>54.42</v>
      </c>
      <c r="E635" s="3">
        <v>79.41</v>
      </c>
      <c r="F635" s="3">
        <v>88.02</v>
      </c>
      <c r="G635" s="5">
        <f t="shared" si="12"/>
        <v>92.861099999999993</v>
      </c>
    </row>
    <row r="636" spans="1:7" x14ac:dyDescent="0.25">
      <c r="A636" s="2" t="s">
        <v>510</v>
      </c>
      <c r="B636" s="2" t="s">
        <v>511</v>
      </c>
      <c r="C636" s="3">
        <v>40.549999999999997</v>
      </c>
      <c r="D636" s="3">
        <v>34.49</v>
      </c>
      <c r="E636" s="3">
        <v>50.37</v>
      </c>
      <c r="F636" s="3">
        <v>54.63</v>
      </c>
      <c r="G636" s="5">
        <f t="shared" si="12"/>
        <v>57.634650000000001</v>
      </c>
    </row>
    <row r="637" spans="1:7" ht="15" customHeight="1" x14ac:dyDescent="0.25">
      <c r="A637" s="2" t="s">
        <v>512</v>
      </c>
      <c r="B637" s="2" t="s">
        <v>513</v>
      </c>
      <c r="C637" s="3">
        <v>48.72</v>
      </c>
      <c r="D637" s="3">
        <v>18.02</v>
      </c>
      <c r="E637" s="3">
        <v>23</v>
      </c>
      <c r="F637" s="3">
        <v>132.79</v>
      </c>
      <c r="G637" s="5">
        <f t="shared" si="12"/>
        <v>140.09344999999999</v>
      </c>
    </row>
    <row r="638" spans="1:7" ht="15" customHeight="1" x14ac:dyDescent="0.25">
      <c r="A638" s="2" t="s">
        <v>514</v>
      </c>
      <c r="B638" s="2" t="s">
        <v>515</v>
      </c>
      <c r="C638" s="3">
        <v>3.28</v>
      </c>
      <c r="D638" s="3">
        <v>1.57</v>
      </c>
      <c r="E638" s="3">
        <v>2.91</v>
      </c>
      <c r="F638" s="3">
        <v>2.5499999999999998</v>
      </c>
      <c r="G638" s="5">
        <f t="shared" si="12"/>
        <v>2.6902499999999998</v>
      </c>
    </row>
    <row r="639" spans="1:7" x14ac:dyDescent="0.25">
      <c r="A639" s="2" t="s">
        <v>516</v>
      </c>
      <c r="B639" s="2" t="s">
        <v>517</v>
      </c>
      <c r="C639" s="3">
        <v>67.11</v>
      </c>
      <c r="D639" s="3">
        <v>10.73</v>
      </c>
      <c r="E639" s="3">
        <v>11.8</v>
      </c>
      <c r="F639" s="3">
        <v>318.25</v>
      </c>
      <c r="G639" s="5">
        <v>300</v>
      </c>
    </row>
    <row r="640" spans="1:7" ht="15" customHeight="1" x14ac:dyDescent="0.25">
      <c r="A640" s="2" t="s">
        <v>518</v>
      </c>
      <c r="B640" s="2" t="s">
        <v>519</v>
      </c>
      <c r="C640" s="3">
        <v>0</v>
      </c>
      <c r="D640" s="3">
        <v>0</v>
      </c>
      <c r="E640" s="3">
        <v>0</v>
      </c>
      <c r="F640" s="3">
        <v>500</v>
      </c>
      <c r="G640" s="5">
        <v>500</v>
      </c>
    </row>
    <row r="641" spans="1:7" ht="15" customHeight="1" x14ac:dyDescent="0.25">
      <c r="A641" s="2" t="s">
        <v>520</v>
      </c>
      <c r="B641" s="2" t="s">
        <v>92</v>
      </c>
      <c r="C641" s="3">
        <v>2319.9699999999998</v>
      </c>
      <c r="D641" s="3">
        <v>11370.06</v>
      </c>
      <c r="E641" s="3">
        <v>11370.06</v>
      </c>
      <c r="F641" s="3">
        <v>11370.06</v>
      </c>
      <c r="G641" s="56">
        <v>2319.9699999999998</v>
      </c>
    </row>
    <row r="642" spans="1:7" ht="15" customHeight="1" x14ac:dyDescent="0.25">
      <c r="A642" s="2" t="s">
        <v>521</v>
      </c>
      <c r="B642" s="2" t="s">
        <v>99</v>
      </c>
      <c r="C642" s="3">
        <v>2192.84</v>
      </c>
      <c r="D642" s="3">
        <v>570.04999999999995</v>
      </c>
      <c r="E642" s="3">
        <v>1142.74</v>
      </c>
      <c r="F642" s="3">
        <v>3000</v>
      </c>
      <c r="G642" s="5">
        <v>3000</v>
      </c>
    </row>
    <row r="643" spans="1:7" x14ac:dyDescent="0.25">
      <c r="A643" s="2" t="s">
        <v>522</v>
      </c>
      <c r="B643" s="2" t="s">
        <v>523</v>
      </c>
      <c r="C643" s="3">
        <v>11087.38</v>
      </c>
      <c r="D643" s="3">
        <v>5166.96</v>
      </c>
      <c r="E643" s="3">
        <v>8904.93</v>
      </c>
      <c r="F643" s="3">
        <v>12000</v>
      </c>
      <c r="G643" s="5">
        <v>15000</v>
      </c>
    </row>
    <row r="644" spans="1:7" x14ac:dyDescent="0.25">
      <c r="A644" s="2" t="s">
        <v>524</v>
      </c>
      <c r="B644" s="2" t="s">
        <v>525</v>
      </c>
      <c r="C644" s="3">
        <v>7240.84</v>
      </c>
      <c r="D644" s="3">
        <v>703.8</v>
      </c>
      <c r="E644" s="3">
        <v>6604.28</v>
      </c>
      <c r="F644" s="3">
        <v>8000</v>
      </c>
      <c r="G644" s="5">
        <v>8000</v>
      </c>
    </row>
    <row r="645" spans="1:7" x14ac:dyDescent="0.25">
      <c r="A645" s="2" t="s">
        <v>526</v>
      </c>
      <c r="B645" s="2" t="s">
        <v>527</v>
      </c>
      <c r="C645" s="3">
        <v>21713.06</v>
      </c>
      <c r="D645" s="3">
        <v>14606.55</v>
      </c>
      <c r="E645" s="3">
        <v>27257.72</v>
      </c>
      <c r="F645" s="3">
        <v>20000</v>
      </c>
      <c r="G645" s="5">
        <v>25000</v>
      </c>
    </row>
    <row r="646" spans="1:7" x14ac:dyDescent="0.25">
      <c r="A646" s="2" t="s">
        <v>528</v>
      </c>
      <c r="B646" s="2" t="s">
        <v>529</v>
      </c>
      <c r="C646" s="3">
        <v>23827.79</v>
      </c>
      <c r="D646" s="3">
        <v>7327.11</v>
      </c>
      <c r="E646" s="3">
        <v>14386.99</v>
      </c>
      <c r="F646" s="3">
        <v>25000</v>
      </c>
      <c r="G646" s="5">
        <v>27000</v>
      </c>
    </row>
    <row r="647" spans="1:7" x14ac:dyDescent="0.25">
      <c r="A647" s="2" t="s">
        <v>530</v>
      </c>
      <c r="B647" s="2" t="s">
        <v>531</v>
      </c>
      <c r="C647" s="3">
        <v>559.73</v>
      </c>
      <c r="D647" s="3">
        <v>0</v>
      </c>
      <c r="E647" s="3">
        <v>230</v>
      </c>
      <c r="F647" s="3">
        <v>1000</v>
      </c>
      <c r="G647" s="5">
        <v>1000</v>
      </c>
    </row>
    <row r="648" spans="1:7" ht="15" customHeight="1" x14ac:dyDescent="0.25">
      <c r="A648" s="2" t="s">
        <v>532</v>
      </c>
      <c r="B648" s="2" t="s">
        <v>533</v>
      </c>
      <c r="C648" s="3">
        <v>0</v>
      </c>
      <c r="D648" s="3">
        <v>0</v>
      </c>
      <c r="E648" s="3">
        <v>1.83</v>
      </c>
      <c r="F648" s="3">
        <v>5000</v>
      </c>
      <c r="G648" s="5">
        <v>5000</v>
      </c>
    </row>
    <row r="649" spans="1:7" ht="30" customHeight="1" x14ac:dyDescent="0.25">
      <c r="A649" s="1" t="s">
        <v>534</v>
      </c>
      <c r="B649" s="1" t="s">
        <v>2</v>
      </c>
      <c r="C649" s="6">
        <v>122093.89</v>
      </c>
      <c r="D649" s="6">
        <v>53310.15</v>
      </c>
      <c r="E649" s="6">
        <f>SUM(E622:E648)</f>
        <v>87958.55</v>
      </c>
      <c r="F649" s="6">
        <f>SUM(F622:F648)</f>
        <v>232170.77</v>
      </c>
      <c r="G649" s="6">
        <f>SUM(G622:G648)</f>
        <v>241131.46530000004</v>
      </c>
    </row>
    <row r="650" spans="1:7" x14ac:dyDescent="0.25">
      <c r="A650" s="1" t="s">
        <v>2</v>
      </c>
      <c r="B650" s="1" t="s">
        <v>2</v>
      </c>
      <c r="C650" s="6" t="s">
        <v>2</v>
      </c>
      <c r="D650" s="6" t="s">
        <v>2</v>
      </c>
      <c r="E650" s="6"/>
      <c r="F650" s="6" t="s">
        <v>2</v>
      </c>
      <c r="G650" s="1" t="s">
        <v>2</v>
      </c>
    </row>
    <row r="651" spans="1:7" ht="15" customHeight="1" x14ac:dyDescent="0.25">
      <c r="A651" s="1" t="s">
        <v>535</v>
      </c>
      <c r="B651" s="1" t="s">
        <v>2</v>
      </c>
    </row>
    <row r="652" spans="1:7" ht="15" customHeight="1" x14ac:dyDescent="0.25">
      <c r="A652" s="2" t="s">
        <v>536</v>
      </c>
      <c r="B652" s="2" t="s">
        <v>108</v>
      </c>
      <c r="C652" s="3">
        <v>144070.32999999999</v>
      </c>
      <c r="D652" s="3">
        <v>64064.959999999999</v>
      </c>
      <c r="E652" s="3">
        <v>110261.18</v>
      </c>
      <c r="F652" s="3">
        <v>147030.29</v>
      </c>
      <c r="G652" s="5">
        <f>F652*1.055</f>
        <v>155116.95595</v>
      </c>
    </row>
    <row r="653" spans="1:7" ht="15" customHeight="1" x14ac:dyDescent="0.25">
      <c r="A653" s="2" t="s">
        <v>537</v>
      </c>
      <c r="B653" s="2" t="s">
        <v>29</v>
      </c>
      <c r="C653" s="3">
        <v>40441.06</v>
      </c>
      <c r="D653" s="3">
        <v>17931.349999999999</v>
      </c>
      <c r="E653" s="3">
        <v>30735.200000000001</v>
      </c>
      <c r="F653" s="3">
        <v>40860.65</v>
      </c>
      <c r="G653" s="5">
        <f t="shared" ref="G653:G657" si="13">F653*1.055</f>
        <v>43107.98575</v>
      </c>
    </row>
    <row r="654" spans="1:7" ht="15" customHeight="1" x14ac:dyDescent="0.25">
      <c r="A654" s="2" t="s">
        <v>538</v>
      </c>
      <c r="B654" s="2" t="s">
        <v>31</v>
      </c>
      <c r="C654" s="3">
        <v>3003.22</v>
      </c>
      <c r="D654" s="3">
        <v>892.76</v>
      </c>
      <c r="E654" s="3">
        <v>1667.37</v>
      </c>
      <c r="F654" s="3">
        <v>3156.16</v>
      </c>
      <c r="G654" s="5">
        <f t="shared" si="13"/>
        <v>3329.7487999999998</v>
      </c>
    </row>
    <row r="655" spans="1:7" ht="15" customHeight="1" x14ac:dyDescent="0.25">
      <c r="A655" s="2" t="s">
        <v>539</v>
      </c>
      <c r="B655" s="2" t="s">
        <v>33</v>
      </c>
      <c r="C655" s="3">
        <v>19473.36</v>
      </c>
      <c r="D655" s="3">
        <v>7665.81</v>
      </c>
      <c r="E655" s="3">
        <v>13225.93</v>
      </c>
      <c r="F655" s="3">
        <v>17557.61</v>
      </c>
      <c r="G655" s="5">
        <f t="shared" si="13"/>
        <v>18523.278549999999</v>
      </c>
    </row>
    <row r="656" spans="1:7" x14ac:dyDescent="0.25">
      <c r="A656" s="2" t="s">
        <v>540</v>
      </c>
      <c r="B656" s="2" t="s">
        <v>113</v>
      </c>
      <c r="C656" s="3">
        <v>10772.88</v>
      </c>
      <c r="D656" s="3">
        <v>4796.46</v>
      </c>
      <c r="E656" s="3">
        <v>8255.68</v>
      </c>
      <c r="F656" s="3">
        <v>11247.82</v>
      </c>
      <c r="G656" s="5">
        <f t="shared" si="13"/>
        <v>11866.450099999998</v>
      </c>
    </row>
    <row r="657" spans="1:7" ht="15" customHeight="1" x14ac:dyDescent="0.25">
      <c r="A657" s="2" t="s">
        <v>541</v>
      </c>
      <c r="B657" s="2" t="s">
        <v>13</v>
      </c>
      <c r="C657" s="3">
        <v>211.41</v>
      </c>
      <c r="D657" s="3">
        <v>136.62</v>
      </c>
      <c r="E657" s="3">
        <v>233.93</v>
      </c>
      <c r="F657" s="3">
        <v>216.13</v>
      </c>
      <c r="G657" s="5">
        <f t="shared" si="13"/>
        <v>228.01714999999999</v>
      </c>
    </row>
    <row r="658" spans="1:7" ht="15" customHeight="1" x14ac:dyDescent="0.25">
      <c r="A658" s="2" t="s">
        <v>542</v>
      </c>
      <c r="B658" s="2" t="s">
        <v>543</v>
      </c>
      <c r="C658" s="3">
        <v>374</v>
      </c>
      <c r="D658" s="3">
        <v>0</v>
      </c>
      <c r="E658" s="3">
        <v>0</v>
      </c>
      <c r="F658" s="3">
        <v>283.25</v>
      </c>
      <c r="G658" s="5">
        <v>300</v>
      </c>
    </row>
    <row r="659" spans="1:7" ht="15" customHeight="1" x14ac:dyDescent="0.25">
      <c r="A659" s="2" t="s">
        <v>544</v>
      </c>
      <c r="B659" s="2" t="s">
        <v>37</v>
      </c>
      <c r="C659" s="3">
        <v>0</v>
      </c>
      <c r="D659" s="3">
        <v>84.85</v>
      </c>
      <c r="E659" s="3">
        <v>644.91</v>
      </c>
      <c r="F659" s="3">
        <v>0</v>
      </c>
      <c r="G659" s="5">
        <v>0</v>
      </c>
    </row>
    <row r="660" spans="1:7" ht="15" customHeight="1" x14ac:dyDescent="0.25">
      <c r="A660" s="2" t="s">
        <v>545</v>
      </c>
      <c r="B660" s="2" t="s">
        <v>92</v>
      </c>
      <c r="C660" s="3">
        <v>9123.7199999999993</v>
      </c>
      <c r="D660" s="3">
        <v>2360.56</v>
      </c>
      <c r="E660" s="3">
        <v>2360.56</v>
      </c>
      <c r="F660" s="3">
        <v>2360.56</v>
      </c>
      <c r="G660" s="56">
        <v>9123.7199999999993</v>
      </c>
    </row>
    <row r="661" spans="1:7" x14ac:dyDescent="0.25">
      <c r="A661" s="2" t="s">
        <v>546</v>
      </c>
      <c r="B661" s="2" t="s">
        <v>547</v>
      </c>
      <c r="C661" s="3">
        <v>2169.7600000000002</v>
      </c>
      <c r="D661" s="3">
        <v>3240.22</v>
      </c>
      <c r="E661" s="3">
        <v>3240.22</v>
      </c>
      <c r="F661" s="3">
        <v>3240.22</v>
      </c>
      <c r="G661" s="5">
        <v>3500</v>
      </c>
    </row>
    <row r="662" spans="1:7" x14ac:dyDescent="0.25">
      <c r="A662" s="2" t="s">
        <v>548</v>
      </c>
      <c r="B662" s="2" t="s">
        <v>549</v>
      </c>
      <c r="C662" s="3">
        <v>99653.64</v>
      </c>
      <c r="D662" s="3">
        <v>14880.8</v>
      </c>
      <c r="E662" s="3">
        <v>30429.48</v>
      </c>
      <c r="F662" s="3">
        <v>100000</v>
      </c>
      <c r="G662" s="5">
        <v>110000</v>
      </c>
    </row>
    <row r="663" spans="1:7" x14ac:dyDescent="0.25">
      <c r="A663" s="2" t="s">
        <v>3207</v>
      </c>
      <c r="B663" s="2" t="s">
        <v>17</v>
      </c>
      <c r="C663" s="3">
        <v>0</v>
      </c>
      <c r="D663" s="3"/>
      <c r="E663" s="3">
        <v>0.75</v>
      </c>
      <c r="F663" s="3">
        <v>0</v>
      </c>
      <c r="G663" s="5">
        <v>0</v>
      </c>
    </row>
    <row r="664" spans="1:7" ht="15" customHeight="1" x14ac:dyDescent="0.25">
      <c r="A664" s="2" t="s">
        <v>550</v>
      </c>
      <c r="B664" s="2" t="s">
        <v>64</v>
      </c>
      <c r="C664" s="3">
        <v>113.49</v>
      </c>
      <c r="D664" s="3">
        <v>47.37</v>
      </c>
      <c r="E664" s="3">
        <v>85.16</v>
      </c>
      <c r="F664" s="3">
        <v>1000</v>
      </c>
      <c r="G664" s="5">
        <v>1000</v>
      </c>
    </row>
    <row r="665" spans="1:7" ht="15" customHeight="1" x14ac:dyDescent="0.25">
      <c r="A665" s="1" t="s">
        <v>551</v>
      </c>
      <c r="B665" s="1" t="s">
        <v>2</v>
      </c>
      <c r="C665" s="6">
        <v>329406.87</v>
      </c>
      <c r="D665" s="6">
        <v>116101.75999999999</v>
      </c>
      <c r="E665" s="6">
        <f>SUM(E652:E664)</f>
        <v>201140.37</v>
      </c>
      <c r="F665" s="6">
        <f>SUM(F652:F664)</f>
        <v>326952.69000000006</v>
      </c>
      <c r="G665" s="6">
        <f>SUM(G652:G664)</f>
        <v>356096.15629999997</v>
      </c>
    </row>
    <row r="666" spans="1:7" x14ac:dyDescent="0.25">
      <c r="A666" s="1" t="s">
        <v>2</v>
      </c>
      <c r="B666" s="1" t="s">
        <v>2</v>
      </c>
      <c r="C666" s="1" t="s">
        <v>2</v>
      </c>
      <c r="D666" s="1" t="s">
        <v>2</v>
      </c>
      <c r="E666" s="1"/>
      <c r="F666" s="1" t="s">
        <v>2</v>
      </c>
      <c r="G666" s="1" t="s">
        <v>2</v>
      </c>
    </row>
    <row r="667" spans="1:7" ht="15" customHeight="1" x14ac:dyDescent="0.25">
      <c r="A667" s="1" t="s">
        <v>552</v>
      </c>
      <c r="B667" s="1" t="s">
        <v>2</v>
      </c>
    </row>
    <row r="668" spans="1:7" ht="15" customHeight="1" x14ac:dyDescent="0.25">
      <c r="A668" s="2" t="s">
        <v>553</v>
      </c>
      <c r="B668" s="2" t="s">
        <v>554</v>
      </c>
      <c r="C668" s="3">
        <v>5005</v>
      </c>
      <c r="D668" s="3">
        <v>5110</v>
      </c>
      <c r="E668" s="3">
        <v>5110</v>
      </c>
      <c r="F668" s="3">
        <v>5110</v>
      </c>
      <c r="G668" s="5">
        <v>6000</v>
      </c>
    </row>
    <row r="669" spans="1:7" ht="15" customHeight="1" x14ac:dyDescent="0.25">
      <c r="A669" s="1" t="s">
        <v>555</v>
      </c>
      <c r="B669" s="1" t="s">
        <v>2</v>
      </c>
      <c r="C669" s="6">
        <v>5005</v>
      </c>
      <c r="D669" s="6">
        <v>5110</v>
      </c>
      <c r="E669" s="6">
        <f>E668</f>
        <v>5110</v>
      </c>
      <c r="F669" s="6">
        <f>SUM(F668)</f>
        <v>5110</v>
      </c>
      <c r="G669" s="6">
        <f>SUM(G668)</f>
        <v>6000</v>
      </c>
    </row>
    <row r="670" spans="1:7" x14ac:dyDescent="0.25">
      <c r="A670" s="1" t="s">
        <v>2</v>
      </c>
      <c r="B670" s="1" t="s">
        <v>2</v>
      </c>
      <c r="C670" s="1" t="s">
        <v>2</v>
      </c>
      <c r="D670" s="1" t="s">
        <v>2</v>
      </c>
      <c r="E670" s="1"/>
      <c r="F670" s="1" t="s">
        <v>2</v>
      </c>
      <c r="G670" s="1" t="s">
        <v>2</v>
      </c>
    </row>
    <row r="671" spans="1:7" ht="15" customHeight="1" x14ac:dyDescent="0.25">
      <c r="A671" s="1" t="s">
        <v>557</v>
      </c>
      <c r="B671" s="1" t="s">
        <v>2</v>
      </c>
    </row>
    <row r="672" spans="1:7" ht="15" customHeight="1" x14ac:dyDescent="0.25">
      <c r="A672" s="2" t="s">
        <v>558</v>
      </c>
      <c r="B672" s="2" t="s">
        <v>559</v>
      </c>
      <c r="C672" s="3">
        <v>701570.81</v>
      </c>
      <c r="D672" s="3">
        <v>2980.21</v>
      </c>
      <c r="E672" s="3">
        <v>2980.21</v>
      </c>
      <c r="F672" s="3">
        <v>0</v>
      </c>
      <c r="G672" s="5">
        <v>0</v>
      </c>
    </row>
    <row r="673" spans="1:8" ht="15" customHeight="1" x14ac:dyDescent="0.25">
      <c r="A673" s="1" t="s">
        <v>560</v>
      </c>
      <c r="B673" s="1" t="s">
        <v>2</v>
      </c>
      <c r="C673" s="6">
        <v>701570.81</v>
      </c>
      <c r="D673" s="6">
        <v>2980.21</v>
      </c>
      <c r="E673" s="6">
        <f>E672</f>
        <v>2980.21</v>
      </c>
      <c r="F673" s="6">
        <f>SUM(F672)</f>
        <v>0</v>
      </c>
      <c r="G673" s="6">
        <f>SUM(G672)</f>
        <v>0</v>
      </c>
    </row>
    <row r="674" spans="1:8" x14ac:dyDescent="0.25">
      <c r="A674" s="1" t="s">
        <v>2</v>
      </c>
      <c r="B674" s="1" t="s">
        <v>2</v>
      </c>
      <c r="C674" s="1" t="s">
        <v>2</v>
      </c>
      <c r="D674" s="1" t="s">
        <v>2</v>
      </c>
      <c r="E674" s="1"/>
      <c r="F674" s="1" t="s">
        <v>2</v>
      </c>
      <c r="G674" s="1" t="s">
        <v>2</v>
      </c>
    </row>
    <row r="675" spans="1:8" x14ac:dyDescent="0.25">
      <c r="A675" s="1" t="s">
        <v>561</v>
      </c>
      <c r="B675" s="1" t="s">
        <v>2</v>
      </c>
    </row>
    <row r="676" spans="1:8" ht="15" customHeight="1" x14ac:dyDescent="0.25">
      <c r="A676" s="2" t="s">
        <v>562</v>
      </c>
      <c r="B676" s="2" t="s">
        <v>563</v>
      </c>
      <c r="C676" s="3">
        <v>2251.37</v>
      </c>
      <c r="D676" s="3">
        <v>0</v>
      </c>
      <c r="E676" s="3">
        <v>0</v>
      </c>
      <c r="F676" s="3">
        <v>0</v>
      </c>
      <c r="G676" s="5">
        <v>0</v>
      </c>
    </row>
    <row r="677" spans="1:8" ht="15" customHeight="1" x14ac:dyDescent="0.25">
      <c r="A677" s="2" t="s">
        <v>564</v>
      </c>
      <c r="B677" s="2" t="s">
        <v>565</v>
      </c>
      <c r="C677" s="3">
        <v>264197.74</v>
      </c>
      <c r="D677" s="3">
        <v>132594.04</v>
      </c>
      <c r="E677" s="3">
        <v>252179.21</v>
      </c>
      <c r="F677" s="3">
        <v>296626.24</v>
      </c>
      <c r="G677" s="5">
        <f>F677*1.055</f>
        <v>312940.68319999997</v>
      </c>
    </row>
    <row r="678" spans="1:8" ht="15" customHeight="1" x14ac:dyDescent="0.25">
      <c r="A678" s="2" t="s">
        <v>566</v>
      </c>
      <c r="B678" s="2" t="s">
        <v>567</v>
      </c>
      <c r="C678" s="3">
        <v>7840.51</v>
      </c>
      <c r="D678" s="3">
        <v>0</v>
      </c>
      <c r="E678" s="3">
        <v>6222.66</v>
      </c>
      <c r="F678" s="3">
        <v>31831.48</v>
      </c>
      <c r="G678" s="5">
        <f t="shared" ref="G678:G688" si="14">F678*1.055</f>
        <v>33582.2114</v>
      </c>
    </row>
    <row r="679" spans="1:8" ht="15" customHeight="1" x14ac:dyDescent="0.25">
      <c r="A679" s="2" t="s">
        <v>568</v>
      </c>
      <c r="B679" s="2" t="s">
        <v>569</v>
      </c>
      <c r="C679" s="3">
        <v>4872.6899999999996</v>
      </c>
      <c r="D679" s="3">
        <v>575.26</v>
      </c>
      <c r="E679" s="3">
        <v>1896.16</v>
      </c>
      <c r="F679" s="3">
        <v>0</v>
      </c>
      <c r="G679" s="5">
        <f t="shared" si="14"/>
        <v>0</v>
      </c>
    </row>
    <row r="680" spans="1:8" ht="15" customHeight="1" x14ac:dyDescent="0.25">
      <c r="A680" s="2" t="s">
        <v>570</v>
      </c>
      <c r="B680" s="2" t="s">
        <v>571</v>
      </c>
      <c r="C680" s="3">
        <v>8902.5</v>
      </c>
      <c r="D680" s="3">
        <v>0</v>
      </c>
      <c r="E680" s="3">
        <v>11565</v>
      </c>
      <c r="F680" s="3">
        <v>10052</v>
      </c>
      <c r="G680" s="5">
        <f>F680*1.055</f>
        <v>10604.859999999999</v>
      </c>
      <c r="H680" t="s">
        <v>3453</v>
      </c>
    </row>
    <row r="681" spans="1:8" ht="15" customHeight="1" x14ac:dyDescent="0.25">
      <c r="A681" s="2" t="s">
        <v>572</v>
      </c>
      <c r="B681" s="2" t="s">
        <v>29</v>
      </c>
      <c r="C681" s="3">
        <v>68498.490000000005</v>
      </c>
      <c r="D681" s="3">
        <v>34708.81</v>
      </c>
      <c r="E681" s="3">
        <v>66646.75</v>
      </c>
      <c r="F681" s="3">
        <v>72374.36</v>
      </c>
      <c r="G681" s="5">
        <f t="shared" si="14"/>
        <v>76354.949800000002</v>
      </c>
    </row>
    <row r="682" spans="1:8" ht="15" customHeight="1" x14ac:dyDescent="0.25">
      <c r="A682" s="2" t="s">
        <v>573</v>
      </c>
      <c r="B682" s="2" t="s">
        <v>31</v>
      </c>
      <c r="C682" s="3">
        <v>9007.59</v>
      </c>
      <c r="D682" s="3">
        <v>2886.79</v>
      </c>
      <c r="E682" s="3">
        <v>6276.55</v>
      </c>
      <c r="F682" s="3">
        <v>12821.9</v>
      </c>
      <c r="G682" s="5">
        <f t="shared" si="14"/>
        <v>13527.104499999999</v>
      </c>
    </row>
    <row r="683" spans="1:8" ht="15" customHeight="1" x14ac:dyDescent="0.25">
      <c r="A683" s="2" t="s">
        <v>574</v>
      </c>
      <c r="B683" s="2" t="s">
        <v>33</v>
      </c>
      <c r="C683" s="3">
        <v>33849.47</v>
      </c>
      <c r="D683" s="3">
        <v>14287.66</v>
      </c>
      <c r="E683" s="3">
        <v>27239.040000000001</v>
      </c>
      <c r="F683" s="3">
        <v>30255.61</v>
      </c>
      <c r="G683" s="5">
        <f t="shared" si="14"/>
        <v>31919.668549999999</v>
      </c>
    </row>
    <row r="684" spans="1:8" ht="15" customHeight="1" x14ac:dyDescent="0.25">
      <c r="A684" s="2" t="s">
        <v>575</v>
      </c>
      <c r="B684" s="2" t="s">
        <v>11</v>
      </c>
      <c r="C684" s="3">
        <v>21147.43</v>
      </c>
      <c r="D684" s="3">
        <v>9969.6200000000008</v>
      </c>
      <c r="E684" s="3">
        <v>20328.82</v>
      </c>
      <c r="F684" s="3">
        <v>25895.99</v>
      </c>
      <c r="G684" s="5">
        <f t="shared" si="14"/>
        <v>27320.26945</v>
      </c>
    </row>
    <row r="685" spans="1:8" ht="15" customHeight="1" x14ac:dyDescent="0.25">
      <c r="A685" s="2" t="s">
        <v>576</v>
      </c>
      <c r="B685" s="2" t="s">
        <v>577</v>
      </c>
      <c r="C685" s="3">
        <v>110.14</v>
      </c>
      <c r="D685" s="3">
        <v>11.72</v>
      </c>
      <c r="E685" s="3">
        <v>33.56</v>
      </c>
      <c r="F685" s="3">
        <v>0</v>
      </c>
      <c r="G685" s="5">
        <f t="shared" si="14"/>
        <v>0</v>
      </c>
    </row>
    <row r="686" spans="1:8" ht="15" customHeight="1" x14ac:dyDescent="0.25">
      <c r="A686" s="2" t="s">
        <v>578</v>
      </c>
      <c r="B686" s="2" t="s">
        <v>579</v>
      </c>
      <c r="C686" s="3">
        <v>631.47</v>
      </c>
      <c r="D686" s="3">
        <v>69.81</v>
      </c>
      <c r="E686" s="3">
        <v>226.21</v>
      </c>
      <c r="F686" s="3">
        <v>0</v>
      </c>
      <c r="G686" s="5">
        <f t="shared" si="14"/>
        <v>0</v>
      </c>
    </row>
    <row r="687" spans="1:8" ht="15" customHeight="1" x14ac:dyDescent="0.25">
      <c r="A687" s="2" t="s">
        <v>580</v>
      </c>
      <c r="B687" s="2" t="s">
        <v>581</v>
      </c>
      <c r="C687" s="3">
        <v>368</v>
      </c>
      <c r="D687" s="3">
        <v>43.18</v>
      </c>
      <c r="E687" s="3">
        <v>141.62</v>
      </c>
      <c r="F687" s="3">
        <v>0</v>
      </c>
      <c r="G687" s="5">
        <f t="shared" si="14"/>
        <v>0</v>
      </c>
    </row>
    <row r="688" spans="1:8" ht="15" customHeight="1" x14ac:dyDescent="0.25">
      <c r="A688" s="2" t="s">
        <v>582</v>
      </c>
      <c r="B688" s="2" t="s">
        <v>13</v>
      </c>
      <c r="C688" s="3">
        <v>419.3</v>
      </c>
      <c r="D688" s="3">
        <v>288.32</v>
      </c>
      <c r="E688" s="3">
        <v>586.92999999999995</v>
      </c>
      <c r="F688" s="3">
        <v>497.61</v>
      </c>
      <c r="G688" s="5">
        <f t="shared" si="14"/>
        <v>524.97854999999993</v>
      </c>
    </row>
    <row r="689" spans="1:7" ht="15" customHeight="1" x14ac:dyDescent="0.25">
      <c r="A689" s="2" t="s">
        <v>583</v>
      </c>
      <c r="B689" s="2" t="s">
        <v>458</v>
      </c>
      <c r="C689" s="3">
        <v>1066.9000000000001</v>
      </c>
      <c r="D689" s="3">
        <v>231.72</v>
      </c>
      <c r="E689" s="3">
        <v>254.78</v>
      </c>
      <c r="F689" s="3">
        <v>1104.33</v>
      </c>
      <c r="G689" s="5">
        <v>500</v>
      </c>
    </row>
    <row r="690" spans="1:7" ht="15" customHeight="1" x14ac:dyDescent="0.25">
      <c r="A690" s="2" t="s">
        <v>584</v>
      </c>
      <c r="B690" s="2" t="s">
        <v>585</v>
      </c>
      <c r="C690" s="3">
        <v>75</v>
      </c>
      <c r="D690" s="3">
        <v>0</v>
      </c>
      <c r="E690" s="3">
        <v>124.94</v>
      </c>
      <c r="F690" s="3">
        <v>0</v>
      </c>
      <c r="G690" s="5">
        <v>150</v>
      </c>
    </row>
    <row r="691" spans="1:7" ht="15" customHeight="1" x14ac:dyDescent="0.25">
      <c r="A691" s="2" t="s">
        <v>586</v>
      </c>
      <c r="B691" s="2" t="s">
        <v>587</v>
      </c>
      <c r="C691" s="3">
        <v>4453.3999999999996</v>
      </c>
      <c r="D691" s="3">
        <v>0</v>
      </c>
      <c r="E691" s="3">
        <v>0</v>
      </c>
      <c r="F691" s="3">
        <v>5000</v>
      </c>
      <c r="G691" s="5">
        <v>5000</v>
      </c>
    </row>
    <row r="692" spans="1:7" ht="15" customHeight="1" x14ac:dyDescent="0.25">
      <c r="A692" s="2" t="s">
        <v>588</v>
      </c>
      <c r="B692" s="2" t="s">
        <v>589</v>
      </c>
      <c r="C692" s="3">
        <v>0</v>
      </c>
      <c r="D692" s="3">
        <v>0</v>
      </c>
      <c r="E692" s="3">
        <v>0</v>
      </c>
      <c r="F692" s="3">
        <v>500</v>
      </c>
      <c r="G692" s="5">
        <v>500</v>
      </c>
    </row>
    <row r="693" spans="1:7" ht="15" customHeight="1" x14ac:dyDescent="0.25">
      <c r="A693" s="2" t="s">
        <v>590</v>
      </c>
      <c r="B693" s="2" t="s">
        <v>591</v>
      </c>
      <c r="C693" s="3">
        <v>967.54</v>
      </c>
      <c r="D693" s="3">
        <v>29.31</v>
      </c>
      <c r="E693" s="3">
        <v>29.31</v>
      </c>
      <c r="F693" s="3">
        <v>1000</v>
      </c>
      <c r="G693" s="5">
        <v>1000</v>
      </c>
    </row>
    <row r="694" spans="1:7" ht="15" customHeight="1" x14ac:dyDescent="0.25">
      <c r="A694" s="2" t="s">
        <v>592</v>
      </c>
      <c r="B694" s="2" t="s">
        <v>593</v>
      </c>
      <c r="C694" s="3">
        <v>50178.09</v>
      </c>
      <c r="D694" s="3">
        <v>15955.66</v>
      </c>
      <c r="E694" s="3">
        <v>32752.25</v>
      </c>
      <c r="F694" s="3">
        <v>50000</v>
      </c>
      <c r="G694" s="5">
        <v>55000</v>
      </c>
    </row>
    <row r="695" spans="1:7" ht="15" customHeight="1" x14ac:dyDescent="0.25">
      <c r="A695" s="2" t="s">
        <v>594</v>
      </c>
      <c r="B695" s="2" t="s">
        <v>595</v>
      </c>
      <c r="C695" s="3">
        <v>0</v>
      </c>
      <c r="D695" s="3">
        <v>0</v>
      </c>
      <c r="E695" s="3">
        <v>0</v>
      </c>
      <c r="F695" s="3">
        <v>2500</v>
      </c>
      <c r="G695" s="5">
        <v>0</v>
      </c>
    </row>
    <row r="696" spans="1:7" ht="15" customHeight="1" x14ac:dyDescent="0.25">
      <c r="A696" s="2" t="s">
        <v>596</v>
      </c>
      <c r="B696" s="2" t="s">
        <v>462</v>
      </c>
      <c r="C696" s="3">
        <v>547</v>
      </c>
      <c r="D696" s="3">
        <v>0</v>
      </c>
      <c r="E696" s="3">
        <v>0</v>
      </c>
      <c r="F696" s="3">
        <v>2000</v>
      </c>
      <c r="G696" s="5">
        <v>2000</v>
      </c>
    </row>
    <row r="697" spans="1:7" x14ac:dyDescent="0.25">
      <c r="A697" s="2" t="s">
        <v>597</v>
      </c>
      <c r="B697" s="2" t="s">
        <v>598</v>
      </c>
      <c r="C697" s="3">
        <v>17660.71</v>
      </c>
      <c r="D697" s="3">
        <v>16574.75</v>
      </c>
      <c r="E697" s="3">
        <v>16574.75</v>
      </c>
      <c r="F697" s="3">
        <v>16574.75</v>
      </c>
      <c r="G697" s="56">
        <v>17660.71</v>
      </c>
    </row>
    <row r="698" spans="1:7" x14ac:dyDescent="0.25">
      <c r="A698" s="2" t="s">
        <v>599</v>
      </c>
      <c r="B698" s="2" t="s">
        <v>15</v>
      </c>
      <c r="C698" s="3">
        <v>1513.37</v>
      </c>
      <c r="D698" s="3">
        <v>1265.71</v>
      </c>
      <c r="E698" s="3">
        <v>1265.71</v>
      </c>
      <c r="F698" s="3">
        <v>1265.71</v>
      </c>
      <c r="G698" s="5">
        <v>1500</v>
      </c>
    </row>
    <row r="699" spans="1:7" ht="15" customHeight="1" x14ac:dyDescent="0.25">
      <c r="A699" s="2" t="s">
        <v>600</v>
      </c>
      <c r="B699" s="2" t="s">
        <v>601</v>
      </c>
      <c r="C699" s="3">
        <v>0</v>
      </c>
      <c r="D699" s="3">
        <v>0</v>
      </c>
      <c r="E699" s="3">
        <v>298.67</v>
      </c>
      <c r="F699" s="3">
        <v>1500</v>
      </c>
      <c r="G699" s="5">
        <v>1500</v>
      </c>
    </row>
    <row r="700" spans="1:7" ht="15" customHeight="1" x14ac:dyDescent="0.25">
      <c r="A700" s="2" t="s">
        <v>602</v>
      </c>
      <c r="B700" s="2" t="s">
        <v>95</v>
      </c>
      <c r="C700" s="3">
        <v>12116.76</v>
      </c>
      <c r="D700" s="3">
        <v>1269.56</v>
      </c>
      <c r="E700" s="3">
        <v>1726.52</v>
      </c>
      <c r="F700" s="3">
        <v>10000</v>
      </c>
      <c r="G700" s="5">
        <v>10000</v>
      </c>
    </row>
    <row r="701" spans="1:7" ht="15" customHeight="1" x14ac:dyDescent="0.25">
      <c r="A701" s="2" t="s">
        <v>603</v>
      </c>
      <c r="B701" s="2" t="s">
        <v>604</v>
      </c>
      <c r="C701" s="3">
        <v>1355.38</v>
      </c>
      <c r="D701" s="3">
        <v>0</v>
      </c>
      <c r="E701" s="3">
        <v>0</v>
      </c>
      <c r="F701" s="3">
        <v>0</v>
      </c>
      <c r="G701" s="5">
        <v>0</v>
      </c>
    </row>
    <row r="702" spans="1:7" ht="15" customHeight="1" x14ac:dyDescent="0.25">
      <c r="A702" s="2" t="s">
        <v>605</v>
      </c>
      <c r="B702" s="2" t="s">
        <v>606</v>
      </c>
      <c r="C702" s="3">
        <v>4506.8599999999997</v>
      </c>
      <c r="D702" s="3">
        <v>1619.76</v>
      </c>
      <c r="E702" s="3">
        <v>3244.02</v>
      </c>
      <c r="F702" s="3">
        <v>3100</v>
      </c>
      <c r="G702" s="5">
        <v>5000</v>
      </c>
    </row>
    <row r="703" spans="1:7" ht="15" customHeight="1" x14ac:dyDescent="0.25">
      <c r="A703" s="2" t="s">
        <v>607</v>
      </c>
      <c r="B703" s="2" t="s">
        <v>17</v>
      </c>
      <c r="C703" s="3">
        <v>0</v>
      </c>
      <c r="D703" s="3">
        <v>0</v>
      </c>
      <c r="E703" s="3">
        <v>0</v>
      </c>
      <c r="F703" s="3">
        <v>0</v>
      </c>
      <c r="G703" s="5">
        <v>0</v>
      </c>
    </row>
    <row r="704" spans="1:7" ht="15" customHeight="1" x14ac:dyDescent="0.25">
      <c r="A704" s="2" t="s">
        <v>608</v>
      </c>
      <c r="B704" s="2" t="s">
        <v>144</v>
      </c>
      <c r="C704" s="3">
        <v>185</v>
      </c>
      <c r="D704" s="3">
        <v>0</v>
      </c>
      <c r="E704" s="3">
        <v>0</v>
      </c>
      <c r="F704" s="3">
        <v>1200</v>
      </c>
      <c r="G704" s="5">
        <v>1200</v>
      </c>
    </row>
    <row r="705" spans="1:8" ht="15" customHeight="1" x14ac:dyDescent="0.25">
      <c r="A705" s="2" t="s">
        <v>609</v>
      </c>
      <c r="B705" s="2" t="s">
        <v>305</v>
      </c>
      <c r="C705" s="3">
        <v>26712.85</v>
      </c>
      <c r="D705" s="3">
        <v>3138.66</v>
      </c>
      <c r="E705" s="3">
        <v>27374.7</v>
      </c>
      <c r="F705" s="3">
        <v>21000</v>
      </c>
      <c r="G705" s="5">
        <v>23000</v>
      </c>
    </row>
    <row r="706" spans="1:8" ht="15" customHeight="1" x14ac:dyDescent="0.25">
      <c r="A706" s="2" t="s">
        <v>610</v>
      </c>
      <c r="B706" s="2" t="s">
        <v>611</v>
      </c>
      <c r="C706" s="3">
        <v>7205.2</v>
      </c>
      <c r="D706" s="3">
        <v>5930.55</v>
      </c>
      <c r="E706" s="3">
        <v>7288.39</v>
      </c>
      <c r="F706" s="3">
        <v>9200</v>
      </c>
      <c r="G706" s="5">
        <v>12000</v>
      </c>
    </row>
    <row r="707" spans="1:8" ht="15" customHeight="1" x14ac:dyDescent="0.25">
      <c r="A707" s="2" t="s">
        <v>612</v>
      </c>
      <c r="B707" s="2" t="s">
        <v>613</v>
      </c>
      <c r="C707" s="3">
        <v>32997.040000000001</v>
      </c>
      <c r="D707" s="3">
        <v>6886.5</v>
      </c>
      <c r="E707" s="3">
        <v>16194.62</v>
      </c>
      <c r="F707" s="3">
        <v>20000</v>
      </c>
      <c r="G707" s="5">
        <v>35000</v>
      </c>
    </row>
    <row r="708" spans="1:8" ht="15" customHeight="1" x14ac:dyDescent="0.25">
      <c r="A708" s="2" t="s">
        <v>614</v>
      </c>
      <c r="B708" s="2" t="s">
        <v>615</v>
      </c>
      <c r="C708" s="3">
        <v>4186.3100000000004</v>
      </c>
      <c r="D708" s="3">
        <v>1501.61</v>
      </c>
      <c r="E708" s="3">
        <v>1501.61</v>
      </c>
      <c r="F708" s="3">
        <v>2500</v>
      </c>
      <c r="G708" s="5">
        <v>5000</v>
      </c>
    </row>
    <row r="709" spans="1:8" x14ac:dyDescent="0.25">
      <c r="A709" s="2" t="s">
        <v>616</v>
      </c>
      <c r="B709" s="2" t="s">
        <v>617</v>
      </c>
      <c r="C709" s="3">
        <v>736.3</v>
      </c>
      <c r="D709" s="3">
        <v>270.3</v>
      </c>
      <c r="E709" s="3">
        <v>970.68</v>
      </c>
      <c r="F709" s="3">
        <v>1000</v>
      </c>
      <c r="G709" s="5">
        <v>1000</v>
      </c>
    </row>
    <row r="710" spans="1:8" ht="15" customHeight="1" x14ac:dyDescent="0.25">
      <c r="A710" s="2" t="s">
        <v>618</v>
      </c>
      <c r="B710" s="2" t="s">
        <v>619</v>
      </c>
      <c r="C710" s="3">
        <v>0</v>
      </c>
      <c r="D710" s="3">
        <v>0</v>
      </c>
      <c r="E710" s="3">
        <v>0</v>
      </c>
      <c r="F710" s="3">
        <v>1500</v>
      </c>
      <c r="G710" s="5">
        <v>1500</v>
      </c>
    </row>
    <row r="711" spans="1:8" x14ac:dyDescent="0.25">
      <c r="A711" s="2" t="s">
        <v>620</v>
      </c>
      <c r="B711" s="2" t="s">
        <v>621</v>
      </c>
      <c r="C711" s="3">
        <v>0</v>
      </c>
      <c r="D711" s="3">
        <v>0</v>
      </c>
      <c r="E711" s="3">
        <v>0</v>
      </c>
      <c r="F711" s="3">
        <v>1000</v>
      </c>
      <c r="G711" s="5">
        <v>1000</v>
      </c>
    </row>
    <row r="712" spans="1:8" ht="15" customHeight="1" x14ac:dyDescent="0.25">
      <c r="A712" s="2" t="s">
        <v>622</v>
      </c>
      <c r="B712" s="2" t="s">
        <v>64</v>
      </c>
      <c r="C712" s="3">
        <v>751.96</v>
      </c>
      <c r="D712" s="3">
        <v>194.21</v>
      </c>
      <c r="E712" s="3">
        <v>463.32</v>
      </c>
      <c r="F712" s="3">
        <v>2500</v>
      </c>
      <c r="G712" s="5">
        <v>2500</v>
      </c>
    </row>
    <row r="713" spans="1:8" ht="15" customHeight="1" x14ac:dyDescent="0.25">
      <c r="A713" s="2" t="s">
        <v>623</v>
      </c>
      <c r="B713" s="2" t="s">
        <v>624</v>
      </c>
      <c r="C713" s="3">
        <v>0</v>
      </c>
      <c r="D713" s="3">
        <v>0</v>
      </c>
      <c r="E713" s="3">
        <v>195.65</v>
      </c>
      <c r="F713" s="3">
        <v>1000</v>
      </c>
      <c r="G713" s="5">
        <v>1000</v>
      </c>
    </row>
    <row r="714" spans="1:8" ht="15" customHeight="1" x14ac:dyDescent="0.25">
      <c r="A714" s="2" t="s">
        <v>625</v>
      </c>
      <c r="B714" s="2" t="s">
        <v>626</v>
      </c>
      <c r="C714" s="3">
        <v>244.5</v>
      </c>
      <c r="D714" s="3">
        <v>0</v>
      </c>
      <c r="E714" s="3">
        <v>0</v>
      </c>
      <c r="F714" s="3">
        <v>0</v>
      </c>
      <c r="G714" s="5">
        <v>500</v>
      </c>
    </row>
    <row r="715" spans="1:8" ht="15" customHeight="1" x14ac:dyDescent="0.25">
      <c r="A715" s="2" t="s">
        <v>627</v>
      </c>
      <c r="B715" s="2" t="s">
        <v>628</v>
      </c>
      <c r="C715" s="3">
        <v>17224.09</v>
      </c>
      <c r="D715" s="3">
        <v>5588.71</v>
      </c>
      <c r="E715" s="3">
        <v>22350.82</v>
      </c>
      <c r="F715" s="3">
        <v>23000</v>
      </c>
      <c r="G715" s="55">
        <v>29000</v>
      </c>
      <c r="H715" t="s">
        <v>3423</v>
      </c>
    </row>
    <row r="716" spans="1:8" ht="15" customHeight="1" x14ac:dyDescent="0.25">
      <c r="A716" s="1" t="s">
        <v>4</v>
      </c>
      <c r="B716" s="1" t="s">
        <v>2</v>
      </c>
      <c r="C716" s="4">
        <v>606780.96</v>
      </c>
      <c r="D716" s="4">
        <v>255892.22</v>
      </c>
      <c r="E716" s="4">
        <f>SUM(E676:E715)</f>
        <v>525953.25000000012</v>
      </c>
      <c r="F716" s="6">
        <f>SUM(F676:F715)</f>
        <v>658799.98</v>
      </c>
      <c r="G716" s="6">
        <f>SUM(G676:G715)</f>
        <v>719285.43544999999</v>
      </c>
    </row>
    <row r="717" spans="1:8" x14ac:dyDescent="0.25">
      <c r="A717" s="1" t="s">
        <v>2</v>
      </c>
      <c r="B717" s="1" t="s">
        <v>2</v>
      </c>
      <c r="C717" s="1" t="s">
        <v>2</v>
      </c>
      <c r="D717" s="1" t="s">
        <v>2</v>
      </c>
      <c r="E717" s="1"/>
      <c r="F717" s="1" t="s">
        <v>2</v>
      </c>
      <c r="G717" s="1" t="s">
        <v>2</v>
      </c>
    </row>
    <row r="718" spans="1:8" ht="15" customHeight="1" x14ac:dyDescent="0.25">
      <c r="A718" s="1" t="s">
        <v>557</v>
      </c>
      <c r="B718" s="1" t="s">
        <v>2</v>
      </c>
    </row>
    <row r="719" spans="1:8" ht="15" customHeight="1" x14ac:dyDescent="0.25">
      <c r="A719" s="2" t="s">
        <v>629</v>
      </c>
      <c r="B719" s="2" t="s">
        <v>630</v>
      </c>
      <c r="C719" s="3">
        <v>0</v>
      </c>
      <c r="D719" s="3">
        <v>0</v>
      </c>
      <c r="E719" s="3">
        <v>0</v>
      </c>
      <c r="F719" s="3">
        <v>7500</v>
      </c>
      <c r="G719" s="5">
        <v>7500</v>
      </c>
    </row>
    <row r="720" spans="1:8" ht="15" customHeight="1" x14ac:dyDescent="0.25">
      <c r="A720" s="2" t="s">
        <v>631</v>
      </c>
      <c r="B720" s="2" t="s">
        <v>632</v>
      </c>
      <c r="C720" s="3">
        <v>0</v>
      </c>
      <c r="D720" s="3">
        <v>0</v>
      </c>
      <c r="E720" s="3">
        <v>0</v>
      </c>
      <c r="F720" s="3">
        <v>50000</v>
      </c>
      <c r="G720" s="5">
        <v>50000</v>
      </c>
    </row>
    <row r="721" spans="1:11" ht="15" customHeight="1" x14ac:dyDescent="0.25">
      <c r="A721" s="2" t="s">
        <v>633</v>
      </c>
      <c r="B721" s="2" t="s">
        <v>634</v>
      </c>
      <c r="C721" s="3">
        <v>266413.5</v>
      </c>
      <c r="D721" s="3">
        <v>14007.81</v>
      </c>
      <c r="E721" s="3">
        <v>14007.81</v>
      </c>
      <c r="F721" s="3">
        <v>0</v>
      </c>
      <c r="G721" s="5">
        <v>0</v>
      </c>
    </row>
    <row r="722" spans="1:11" ht="15" customHeight="1" x14ac:dyDescent="0.25">
      <c r="A722" s="2" t="s">
        <v>635</v>
      </c>
      <c r="B722" s="2" t="s">
        <v>636</v>
      </c>
      <c r="C722" s="3">
        <v>0</v>
      </c>
      <c r="D722" s="3">
        <v>0</v>
      </c>
      <c r="E722" s="3">
        <v>0</v>
      </c>
      <c r="F722" s="3">
        <v>5000</v>
      </c>
      <c r="G722" s="5">
        <v>5000</v>
      </c>
    </row>
    <row r="723" spans="1:11" ht="15" customHeight="1" x14ac:dyDescent="0.25">
      <c r="A723" s="2" t="s">
        <v>637</v>
      </c>
      <c r="B723" s="2" t="s">
        <v>638</v>
      </c>
      <c r="C723" s="3">
        <v>0</v>
      </c>
      <c r="D723" s="3">
        <v>0</v>
      </c>
      <c r="E723" s="3">
        <v>0</v>
      </c>
      <c r="F723" s="3">
        <v>0</v>
      </c>
      <c r="G723" s="5">
        <v>0</v>
      </c>
    </row>
    <row r="724" spans="1:11" ht="15" customHeight="1" x14ac:dyDescent="0.25">
      <c r="A724" s="2" t="s">
        <v>639</v>
      </c>
      <c r="B724" s="2" t="s">
        <v>640</v>
      </c>
      <c r="C724" s="3">
        <v>0</v>
      </c>
      <c r="D724" s="3">
        <v>0</v>
      </c>
      <c r="E724" s="3">
        <v>0</v>
      </c>
      <c r="F724" s="3">
        <v>5000</v>
      </c>
      <c r="G724" s="5">
        <v>5000</v>
      </c>
    </row>
    <row r="725" spans="1:11" ht="15" customHeight="1" x14ac:dyDescent="0.25">
      <c r="A725" s="2" t="s">
        <v>641</v>
      </c>
      <c r="B725" s="2" t="s">
        <v>642</v>
      </c>
      <c r="C725" s="3">
        <v>25406.22</v>
      </c>
      <c r="D725" s="3">
        <v>0</v>
      </c>
      <c r="E725" s="3">
        <v>0</v>
      </c>
      <c r="F725" s="3">
        <v>0</v>
      </c>
      <c r="G725" s="5">
        <v>0</v>
      </c>
    </row>
    <row r="726" spans="1:11" ht="15" customHeight="1" x14ac:dyDescent="0.25">
      <c r="A726" s="1" t="s">
        <v>560</v>
      </c>
      <c r="B726" s="1" t="s">
        <v>2</v>
      </c>
      <c r="C726" s="4">
        <v>291819.71999999997</v>
      </c>
      <c r="D726" s="4">
        <v>14007.81</v>
      </c>
      <c r="E726" s="4">
        <f>SUM(E719:E725)</f>
        <v>14007.81</v>
      </c>
      <c r="F726" s="6">
        <f>SUM(F719:F725)</f>
        <v>67500</v>
      </c>
      <c r="G726" s="6">
        <f>SUM(G719:G725)</f>
        <v>67500</v>
      </c>
    </row>
    <row r="727" spans="1:11" x14ac:dyDescent="0.25">
      <c r="A727" s="1" t="s">
        <v>2</v>
      </c>
      <c r="B727" s="1" t="s">
        <v>2</v>
      </c>
      <c r="C727" s="1" t="s">
        <v>2</v>
      </c>
      <c r="D727" s="1" t="s">
        <v>2</v>
      </c>
      <c r="E727" s="1"/>
      <c r="F727" s="1" t="s">
        <v>2</v>
      </c>
      <c r="G727" s="1" t="s">
        <v>2</v>
      </c>
    </row>
    <row r="728" spans="1:11" x14ac:dyDescent="0.25">
      <c r="A728" s="1" t="s">
        <v>643</v>
      </c>
      <c r="B728" s="1" t="s">
        <v>2</v>
      </c>
      <c r="C728" s="6">
        <v>898600.68</v>
      </c>
      <c r="D728" s="6">
        <v>269900.03000000003</v>
      </c>
      <c r="E728" s="6">
        <f>E716+E726</f>
        <v>539961.06000000017</v>
      </c>
      <c r="F728" s="6">
        <f>F716+F726</f>
        <v>726299.98</v>
      </c>
      <c r="G728" s="6">
        <f>G716+G726</f>
        <v>786785.43544999999</v>
      </c>
    </row>
    <row r="729" spans="1:11" x14ac:dyDescent="0.25">
      <c r="A729" s="1" t="s">
        <v>2</v>
      </c>
      <c r="B729" s="1" t="s">
        <v>2</v>
      </c>
      <c r="C729" s="1" t="s">
        <v>2</v>
      </c>
      <c r="D729" s="1" t="s">
        <v>2</v>
      </c>
      <c r="E729" s="1"/>
      <c r="F729" s="1" t="s">
        <v>2</v>
      </c>
      <c r="G729" s="1" t="s">
        <v>2</v>
      </c>
    </row>
    <row r="730" spans="1:11" ht="15" customHeight="1" x14ac:dyDescent="0.25">
      <c r="A730" s="1" t="s">
        <v>644</v>
      </c>
      <c r="B730" s="1" t="s">
        <v>2</v>
      </c>
    </row>
    <row r="731" spans="1:11" ht="15" customHeight="1" x14ac:dyDescent="0.25">
      <c r="A731" s="2" t="s">
        <v>645</v>
      </c>
      <c r="B731" s="2" t="s">
        <v>646</v>
      </c>
      <c r="C731" s="3">
        <v>2304.4299999999998</v>
      </c>
      <c r="D731" s="3">
        <v>0</v>
      </c>
      <c r="E731" s="3">
        <v>0</v>
      </c>
      <c r="F731" s="3">
        <v>2379.06</v>
      </c>
      <c r="G731" s="5">
        <v>2500</v>
      </c>
    </row>
    <row r="732" spans="1:11" ht="15" customHeight="1" x14ac:dyDescent="0.25">
      <c r="A732" s="1" t="s">
        <v>647</v>
      </c>
      <c r="B732" s="1" t="s">
        <v>2</v>
      </c>
      <c r="C732" s="6">
        <v>2304.4299999999998</v>
      </c>
      <c r="D732" s="6">
        <v>0</v>
      </c>
      <c r="E732" s="6">
        <f>E731</f>
        <v>0</v>
      </c>
      <c r="F732" s="6">
        <f>SUM(F731)</f>
        <v>2379.06</v>
      </c>
      <c r="G732" s="6">
        <f>SUM(G731)</f>
        <v>2500</v>
      </c>
    </row>
    <row r="733" spans="1:11" x14ac:dyDescent="0.25">
      <c r="A733" s="1" t="s">
        <v>2</v>
      </c>
      <c r="B733" s="1" t="s">
        <v>2</v>
      </c>
      <c r="C733" s="1" t="s">
        <v>2</v>
      </c>
      <c r="D733" s="1" t="s">
        <v>2</v>
      </c>
      <c r="E733" s="1"/>
      <c r="F733" s="1" t="s">
        <v>2</v>
      </c>
      <c r="G733" s="1" t="s">
        <v>2</v>
      </c>
      <c r="K733" s="41"/>
    </row>
    <row r="734" spans="1:11" ht="15" customHeight="1" x14ac:dyDescent="0.25">
      <c r="A734" s="1" t="s">
        <v>648</v>
      </c>
      <c r="B734" s="1" t="s">
        <v>2</v>
      </c>
    </row>
    <row r="735" spans="1:11" ht="15" customHeight="1" x14ac:dyDescent="0.25">
      <c r="A735" s="2" t="s">
        <v>649</v>
      </c>
      <c r="B735" s="2" t="s">
        <v>650</v>
      </c>
      <c r="C735" s="3">
        <v>88168.97</v>
      </c>
      <c r="D735" s="3">
        <v>55208.32</v>
      </c>
      <c r="E735" s="3">
        <v>95541.64</v>
      </c>
      <c r="F735" s="3">
        <v>120000</v>
      </c>
      <c r="G735" s="5">
        <f>F735*1.055</f>
        <v>126599.99999999999</v>
      </c>
    </row>
    <row r="736" spans="1:11" ht="15" customHeight="1" x14ac:dyDescent="0.25">
      <c r="A736" s="2" t="s">
        <v>651</v>
      </c>
      <c r="B736" s="2" t="s">
        <v>652</v>
      </c>
      <c r="C736" s="3">
        <v>91935.81</v>
      </c>
      <c r="D736" s="3">
        <v>46999.040000000001</v>
      </c>
      <c r="E736" s="3">
        <v>81406.740000000005</v>
      </c>
      <c r="F736" s="3">
        <v>100993.65</v>
      </c>
      <c r="G736" s="5">
        <f t="shared" ref="G736:G746" si="15">F736*1.055</f>
        <v>106548.30074999998</v>
      </c>
    </row>
    <row r="737" spans="1:7" ht="15" customHeight="1" x14ac:dyDescent="0.25">
      <c r="A737" s="2" t="s">
        <v>653</v>
      </c>
      <c r="B737" s="2" t="s">
        <v>654</v>
      </c>
      <c r="C737" s="3">
        <v>75433.850000000006</v>
      </c>
      <c r="D737" s="3">
        <v>35429.379999999997</v>
      </c>
      <c r="E737" s="3">
        <v>62514.38</v>
      </c>
      <c r="F737" s="3">
        <v>77414.399999999994</v>
      </c>
      <c r="G737" s="5">
        <f t="shared" si="15"/>
        <v>81672.191999999995</v>
      </c>
    </row>
    <row r="738" spans="1:7" ht="15" customHeight="1" x14ac:dyDescent="0.25">
      <c r="A738" s="2" t="s">
        <v>655</v>
      </c>
      <c r="B738" s="2" t="s">
        <v>656</v>
      </c>
      <c r="C738" s="3">
        <v>74890.509999999995</v>
      </c>
      <c r="D738" s="3">
        <v>35758.06</v>
      </c>
      <c r="E738" s="3">
        <v>60153.7</v>
      </c>
      <c r="F738" s="3">
        <v>86135.2</v>
      </c>
      <c r="G738" s="5">
        <f t="shared" si="15"/>
        <v>90872.635999999999</v>
      </c>
    </row>
    <row r="739" spans="1:7" x14ac:dyDescent="0.25">
      <c r="A739" s="2" t="s">
        <v>657</v>
      </c>
      <c r="B739" s="2" t="s">
        <v>658</v>
      </c>
      <c r="C739" s="3">
        <v>0</v>
      </c>
      <c r="D739" s="3">
        <v>0</v>
      </c>
      <c r="E739" s="3">
        <v>0</v>
      </c>
      <c r="F739" s="3">
        <v>-30000</v>
      </c>
      <c r="G739" s="5">
        <f t="shared" si="15"/>
        <v>-31649.999999999996</v>
      </c>
    </row>
    <row r="740" spans="1:7" ht="15" customHeight="1" x14ac:dyDescent="0.25">
      <c r="A740" s="2" t="s">
        <v>659</v>
      </c>
      <c r="B740" s="2" t="s">
        <v>660</v>
      </c>
      <c r="C740" s="3">
        <v>0</v>
      </c>
      <c r="D740" s="3">
        <v>0</v>
      </c>
      <c r="E740" s="3">
        <v>0</v>
      </c>
      <c r="F740" s="3">
        <v>0</v>
      </c>
      <c r="G740" s="5">
        <f t="shared" si="15"/>
        <v>0</v>
      </c>
    </row>
    <row r="741" spans="1:7" ht="15" customHeight="1" x14ac:dyDescent="0.25">
      <c r="A741" s="2" t="s">
        <v>661</v>
      </c>
      <c r="B741" s="2" t="s">
        <v>29</v>
      </c>
      <c r="C741" s="3">
        <v>67683.360000000001</v>
      </c>
      <c r="D741" s="3">
        <v>42309.16</v>
      </c>
      <c r="E741" s="3">
        <v>72506.77</v>
      </c>
      <c r="F741" s="3">
        <v>83782.84</v>
      </c>
      <c r="G741" s="5">
        <f t="shared" si="15"/>
        <v>88390.896199999988</v>
      </c>
    </row>
    <row r="742" spans="1:7" ht="15" customHeight="1" x14ac:dyDescent="0.25">
      <c r="A742" s="2" t="s">
        <v>662</v>
      </c>
      <c r="B742" s="2" t="s">
        <v>128</v>
      </c>
      <c r="C742" s="3">
        <v>962.78</v>
      </c>
      <c r="D742" s="3">
        <v>439.12</v>
      </c>
      <c r="E742" s="3">
        <v>765.65</v>
      </c>
      <c r="F742" s="3">
        <v>1152.02</v>
      </c>
      <c r="G742" s="5">
        <f t="shared" si="15"/>
        <v>1215.3810999999998</v>
      </c>
    </row>
    <row r="743" spans="1:7" ht="15" customHeight="1" x14ac:dyDescent="0.25">
      <c r="A743" s="2" t="s">
        <v>663</v>
      </c>
      <c r="B743" s="2" t="s">
        <v>33</v>
      </c>
      <c r="C743" s="3">
        <v>42836.13</v>
      </c>
      <c r="D743" s="3">
        <v>21457.439999999999</v>
      </c>
      <c r="E743" s="3">
        <v>37118.230000000003</v>
      </c>
      <c r="F743" s="3">
        <v>43832.52</v>
      </c>
      <c r="G743" s="5">
        <f t="shared" si="15"/>
        <v>46243.308599999997</v>
      </c>
    </row>
    <row r="744" spans="1:7" ht="15" customHeight="1" x14ac:dyDescent="0.25">
      <c r="A744" s="2" t="s">
        <v>664</v>
      </c>
      <c r="B744" s="2" t="s">
        <v>11</v>
      </c>
      <c r="C744" s="3">
        <v>25048.93</v>
      </c>
      <c r="D744" s="3">
        <v>13126.84</v>
      </c>
      <c r="E744" s="3">
        <v>22684.400000000001</v>
      </c>
      <c r="F744" s="3">
        <v>27122.560000000001</v>
      </c>
      <c r="G744" s="5">
        <f t="shared" si="15"/>
        <v>28614.300800000001</v>
      </c>
    </row>
    <row r="745" spans="1:7" ht="15" customHeight="1" x14ac:dyDescent="0.25">
      <c r="A745" s="2" t="s">
        <v>665</v>
      </c>
      <c r="B745" s="2" t="s">
        <v>85</v>
      </c>
      <c r="C745" s="3">
        <v>2800</v>
      </c>
      <c r="D745" s="3">
        <v>0</v>
      </c>
      <c r="E745" s="3">
        <v>0</v>
      </c>
      <c r="F745" s="3">
        <v>0</v>
      </c>
      <c r="G745" s="5">
        <f t="shared" si="15"/>
        <v>0</v>
      </c>
    </row>
    <row r="746" spans="1:7" ht="15" customHeight="1" x14ac:dyDescent="0.25">
      <c r="A746" s="2" t="s">
        <v>666</v>
      </c>
      <c r="B746" s="2" t="s">
        <v>13</v>
      </c>
      <c r="C746" s="3">
        <v>484.77</v>
      </c>
      <c r="D746" s="3">
        <v>370.11</v>
      </c>
      <c r="E746" s="3">
        <v>638.53</v>
      </c>
      <c r="F746" s="3">
        <v>521.17999999999995</v>
      </c>
      <c r="G746" s="5">
        <f t="shared" si="15"/>
        <v>549.84489999999994</v>
      </c>
    </row>
    <row r="747" spans="1:7" ht="15" customHeight="1" x14ac:dyDescent="0.25">
      <c r="A747" s="2" t="s">
        <v>667</v>
      </c>
      <c r="B747" s="2" t="s">
        <v>668</v>
      </c>
      <c r="C747" s="3">
        <v>1325.61</v>
      </c>
      <c r="D747" s="3">
        <v>183.37</v>
      </c>
      <c r="E747" s="3">
        <v>607.17999999999995</v>
      </c>
      <c r="F747" s="3">
        <v>4000</v>
      </c>
      <c r="G747" s="5">
        <v>2000</v>
      </c>
    </row>
    <row r="748" spans="1:7" ht="15" customHeight="1" x14ac:dyDescent="0.25">
      <c r="A748" s="2" t="s">
        <v>669</v>
      </c>
      <c r="B748" s="2" t="s">
        <v>670</v>
      </c>
      <c r="C748" s="3">
        <v>240.63</v>
      </c>
      <c r="D748" s="3">
        <v>0</v>
      </c>
      <c r="E748" s="3">
        <v>0</v>
      </c>
      <c r="F748" s="3">
        <v>1000</v>
      </c>
      <c r="G748" s="5">
        <v>1000</v>
      </c>
    </row>
    <row r="749" spans="1:7" x14ac:dyDescent="0.25">
      <c r="A749" s="2" t="s">
        <v>671</v>
      </c>
      <c r="B749" s="2" t="s">
        <v>598</v>
      </c>
      <c r="C749" s="3">
        <v>977.84</v>
      </c>
      <c r="D749" s="3">
        <v>4822.92</v>
      </c>
      <c r="E749" s="3">
        <v>4822.92</v>
      </c>
      <c r="F749" s="3">
        <v>4822.92</v>
      </c>
      <c r="G749" s="5">
        <v>977.84</v>
      </c>
    </row>
    <row r="750" spans="1:7" x14ac:dyDescent="0.25">
      <c r="A750" s="2" t="s">
        <v>672</v>
      </c>
      <c r="B750" s="2" t="s">
        <v>15</v>
      </c>
      <c r="C750" s="3">
        <v>25334.83</v>
      </c>
      <c r="D750" s="3">
        <v>38521.230000000003</v>
      </c>
      <c r="E750" s="3">
        <v>38521.230000000003</v>
      </c>
      <c r="F750" s="3">
        <v>38521.230000000003</v>
      </c>
      <c r="G750" s="56">
        <v>40500</v>
      </c>
    </row>
    <row r="751" spans="1:7" ht="15" customHeight="1" x14ac:dyDescent="0.25">
      <c r="A751" s="2" t="s">
        <v>673</v>
      </c>
      <c r="B751" s="2" t="s">
        <v>95</v>
      </c>
      <c r="C751" s="3">
        <v>28700.11</v>
      </c>
      <c r="D751" s="3">
        <v>23370.51</v>
      </c>
      <c r="E751" s="3">
        <v>47829.96</v>
      </c>
      <c r="F751" s="3">
        <v>100000</v>
      </c>
      <c r="G751" s="5">
        <v>50000</v>
      </c>
    </row>
    <row r="752" spans="1:7" ht="15" customHeight="1" x14ac:dyDescent="0.25">
      <c r="A752" s="2" t="s">
        <v>674</v>
      </c>
      <c r="B752" s="2" t="s">
        <v>675</v>
      </c>
      <c r="C752" s="3">
        <v>7198.75</v>
      </c>
      <c r="D752" s="3">
        <v>0</v>
      </c>
      <c r="E752" s="3">
        <v>0</v>
      </c>
      <c r="F752" s="3">
        <v>0</v>
      </c>
      <c r="G752" s="5">
        <v>0</v>
      </c>
    </row>
    <row r="753" spans="1:7" ht="15" customHeight="1" x14ac:dyDescent="0.25">
      <c r="A753" s="2" t="s">
        <v>676</v>
      </c>
      <c r="B753" s="2" t="s">
        <v>677</v>
      </c>
      <c r="C753" s="3">
        <v>0</v>
      </c>
      <c r="D753" s="3">
        <v>0</v>
      </c>
      <c r="E753" s="3">
        <v>0</v>
      </c>
      <c r="F753" s="3">
        <v>0</v>
      </c>
      <c r="G753" s="5">
        <v>0</v>
      </c>
    </row>
    <row r="754" spans="1:7" ht="15" customHeight="1" x14ac:dyDescent="0.25">
      <c r="A754" s="2" t="s">
        <v>678</v>
      </c>
      <c r="B754" s="2" t="s">
        <v>679</v>
      </c>
      <c r="C754" s="3">
        <v>0</v>
      </c>
      <c r="D754" s="3">
        <v>0</v>
      </c>
      <c r="E754" s="3">
        <v>0</v>
      </c>
      <c r="F754" s="3">
        <v>20000</v>
      </c>
      <c r="G754" s="5">
        <v>30000</v>
      </c>
    </row>
    <row r="755" spans="1:7" ht="15" customHeight="1" x14ac:dyDescent="0.25">
      <c r="A755" s="2" t="s">
        <v>680</v>
      </c>
      <c r="B755" s="2" t="s">
        <v>681</v>
      </c>
      <c r="C755" s="3">
        <v>0</v>
      </c>
      <c r="D755" s="3">
        <v>0</v>
      </c>
      <c r="E755" s="3">
        <v>0</v>
      </c>
      <c r="F755" s="3">
        <v>5000</v>
      </c>
      <c r="G755" s="5">
        <v>0</v>
      </c>
    </row>
    <row r="756" spans="1:7" ht="15" customHeight="1" x14ac:dyDescent="0.25">
      <c r="A756" s="2" t="s">
        <v>682</v>
      </c>
      <c r="B756" s="2" t="s">
        <v>683</v>
      </c>
      <c r="C756" s="3">
        <v>23811.5</v>
      </c>
      <c r="D756" s="3">
        <v>6601</v>
      </c>
      <c r="E756" s="3">
        <v>14786</v>
      </c>
      <c r="F756" s="3">
        <v>25000</v>
      </c>
      <c r="G756" s="5">
        <v>26000</v>
      </c>
    </row>
    <row r="757" spans="1:7" ht="15" customHeight="1" x14ac:dyDescent="0.25">
      <c r="A757" s="2" t="s">
        <v>684</v>
      </c>
      <c r="B757" s="2" t="s">
        <v>99</v>
      </c>
      <c r="C757" s="3">
        <v>1372.43</v>
      </c>
      <c r="D757" s="3">
        <v>477.19</v>
      </c>
      <c r="E757" s="3">
        <v>939.92</v>
      </c>
      <c r="F757" s="3">
        <v>2000</v>
      </c>
      <c r="G757" s="5">
        <v>2000</v>
      </c>
    </row>
    <row r="758" spans="1:7" ht="15" customHeight="1" x14ac:dyDescent="0.25">
      <c r="A758" s="2" t="s">
        <v>685</v>
      </c>
      <c r="B758" s="2" t="s">
        <v>59</v>
      </c>
      <c r="C758" s="3">
        <v>1008.96</v>
      </c>
      <c r="D758" s="3">
        <v>785.87</v>
      </c>
      <c r="E758" s="3">
        <v>1325.74</v>
      </c>
      <c r="F758" s="3">
        <v>2000</v>
      </c>
      <c r="G758" s="5">
        <v>2500</v>
      </c>
    </row>
    <row r="759" spans="1:7" ht="15" customHeight="1" x14ac:dyDescent="0.25">
      <c r="A759" s="2" t="s">
        <v>686</v>
      </c>
      <c r="B759" s="2" t="s">
        <v>17</v>
      </c>
      <c r="C759" s="3">
        <v>903.01</v>
      </c>
      <c r="D759" s="3">
        <v>0</v>
      </c>
      <c r="E759" s="3">
        <v>493.75</v>
      </c>
      <c r="F759" s="3">
        <v>6000</v>
      </c>
      <c r="G759" s="5">
        <v>6000</v>
      </c>
    </row>
    <row r="760" spans="1:7" ht="15" customHeight="1" x14ac:dyDescent="0.25">
      <c r="A760" s="2" t="s">
        <v>687</v>
      </c>
      <c r="B760" s="2" t="s">
        <v>688</v>
      </c>
      <c r="C760" s="3">
        <v>6850.25</v>
      </c>
      <c r="D760" s="3">
        <v>1205.78</v>
      </c>
      <c r="E760" s="3">
        <v>4023.85</v>
      </c>
      <c r="F760" s="3">
        <v>9000</v>
      </c>
      <c r="G760" s="5">
        <v>9000</v>
      </c>
    </row>
    <row r="761" spans="1:7" ht="15" customHeight="1" x14ac:dyDescent="0.25">
      <c r="A761" s="2" t="s">
        <v>689</v>
      </c>
      <c r="B761" s="2" t="s">
        <v>690</v>
      </c>
      <c r="C761" s="3">
        <v>6778.88</v>
      </c>
      <c r="D761" s="3">
        <v>2826.05</v>
      </c>
      <c r="E761" s="3">
        <v>5086.8900000000003</v>
      </c>
      <c r="F761" s="3">
        <v>7000</v>
      </c>
      <c r="G761" s="5">
        <v>7000</v>
      </c>
    </row>
    <row r="762" spans="1:7" ht="15" customHeight="1" x14ac:dyDescent="0.25">
      <c r="A762" s="2" t="s">
        <v>691</v>
      </c>
      <c r="B762" s="2" t="s">
        <v>692</v>
      </c>
      <c r="C762" s="3">
        <v>3143.28</v>
      </c>
      <c r="D762" s="3">
        <v>1157.68</v>
      </c>
      <c r="E762" s="3">
        <v>2204.81</v>
      </c>
      <c r="F762" s="3">
        <v>3500</v>
      </c>
      <c r="G762" s="5">
        <v>3500</v>
      </c>
    </row>
    <row r="763" spans="1:7" ht="15" customHeight="1" x14ac:dyDescent="0.25">
      <c r="A763" s="2" t="s">
        <v>693</v>
      </c>
      <c r="B763" s="2" t="s">
        <v>472</v>
      </c>
      <c r="C763" s="3">
        <v>0</v>
      </c>
      <c r="D763" s="3">
        <v>0</v>
      </c>
      <c r="E763" s="3">
        <v>0</v>
      </c>
      <c r="F763" s="3">
        <v>0</v>
      </c>
      <c r="G763" s="5">
        <v>0</v>
      </c>
    </row>
    <row r="764" spans="1:7" ht="15" customHeight="1" x14ac:dyDescent="0.25">
      <c r="A764" s="2" t="s">
        <v>694</v>
      </c>
      <c r="B764" s="2" t="s">
        <v>64</v>
      </c>
      <c r="C764" s="3">
        <v>2504.48</v>
      </c>
      <c r="D764" s="3">
        <v>0</v>
      </c>
      <c r="E764" s="3">
        <v>0</v>
      </c>
      <c r="F764" s="3">
        <v>2500</v>
      </c>
      <c r="G764" s="5">
        <v>6500</v>
      </c>
    </row>
    <row r="765" spans="1:7" ht="15" customHeight="1" x14ac:dyDescent="0.25">
      <c r="A765" s="2" t="s">
        <v>695</v>
      </c>
      <c r="B765" s="2" t="s">
        <v>66</v>
      </c>
      <c r="C765" s="3">
        <v>1207.52</v>
      </c>
      <c r="D765" s="3">
        <v>0</v>
      </c>
      <c r="E765" s="3">
        <v>475</v>
      </c>
      <c r="F765" s="3">
        <v>4500</v>
      </c>
      <c r="G765" s="5">
        <v>4500</v>
      </c>
    </row>
    <row r="766" spans="1:7" ht="15" customHeight="1" x14ac:dyDescent="0.25">
      <c r="A766" s="1" t="s">
        <v>696</v>
      </c>
      <c r="B766" s="1" t="s">
        <v>2</v>
      </c>
      <c r="C766" s="4">
        <v>581603.18999999994</v>
      </c>
      <c r="D766" s="4">
        <v>331049.07</v>
      </c>
      <c r="E766" s="4">
        <f>SUM(E735:E765)</f>
        <v>554447.29000000015</v>
      </c>
      <c r="F766" s="6">
        <f>SUM(F735:F765)</f>
        <v>745798.52</v>
      </c>
      <c r="G766" s="6">
        <f>SUM(G735:G765)</f>
        <v>730534.70034999994</v>
      </c>
    </row>
    <row r="767" spans="1:7" x14ac:dyDescent="0.25">
      <c r="A767" s="2" t="s">
        <v>2</v>
      </c>
      <c r="B767" s="2" t="s">
        <v>2</v>
      </c>
      <c r="C767" s="2" t="s">
        <v>2</v>
      </c>
      <c r="D767" s="2" t="s">
        <v>2</v>
      </c>
      <c r="E767" s="2"/>
      <c r="F767" s="2" t="s">
        <v>2</v>
      </c>
      <c r="G767" s="2" t="s">
        <v>2</v>
      </c>
    </row>
    <row r="768" spans="1:7" ht="15" customHeight="1" x14ac:dyDescent="0.25">
      <c r="A768" s="1" t="s">
        <v>698</v>
      </c>
      <c r="B768" s="1" t="s">
        <v>2</v>
      </c>
    </row>
    <row r="769" spans="1:7" ht="15" customHeight="1" x14ac:dyDescent="0.25">
      <c r="A769" s="2" t="s">
        <v>699</v>
      </c>
      <c r="B769" s="2" t="s">
        <v>700</v>
      </c>
      <c r="C769" s="3">
        <v>35504.239999999998</v>
      </c>
      <c r="D769" s="3">
        <v>5531</v>
      </c>
      <c r="E769" s="3">
        <v>11507.54</v>
      </c>
      <c r="F769" s="3">
        <v>13000</v>
      </c>
      <c r="G769" s="5">
        <v>12000</v>
      </c>
    </row>
    <row r="770" spans="1:7" ht="15" customHeight="1" x14ac:dyDescent="0.25">
      <c r="A770" s="2" t="s">
        <v>701</v>
      </c>
      <c r="B770" s="2" t="s">
        <v>702</v>
      </c>
      <c r="C770" s="3">
        <v>16000</v>
      </c>
      <c r="D770" s="3">
        <v>0</v>
      </c>
      <c r="E770" s="3">
        <v>0</v>
      </c>
      <c r="F770" s="3">
        <v>0</v>
      </c>
      <c r="G770" s="5">
        <v>0</v>
      </c>
    </row>
    <row r="771" spans="1:7" ht="15" customHeight="1" x14ac:dyDescent="0.25">
      <c r="A771" s="2" t="s">
        <v>703</v>
      </c>
      <c r="B771" s="2" t="s">
        <v>704</v>
      </c>
      <c r="C771" s="3">
        <v>3211.35</v>
      </c>
      <c r="D771" s="3">
        <v>5844.44</v>
      </c>
      <c r="E771" s="3">
        <v>5844.44</v>
      </c>
      <c r="F771" s="3">
        <v>0</v>
      </c>
      <c r="G771" s="5">
        <v>0</v>
      </c>
    </row>
    <row r="772" spans="1:7" ht="15" customHeight="1" x14ac:dyDescent="0.25">
      <c r="A772" s="1" t="s">
        <v>705</v>
      </c>
      <c r="B772" s="1" t="s">
        <v>2</v>
      </c>
      <c r="C772" s="4">
        <v>54715.59</v>
      </c>
      <c r="D772" s="4">
        <v>11375.44</v>
      </c>
      <c r="E772" s="4">
        <f>SUM(E769:E771)</f>
        <v>17351.98</v>
      </c>
      <c r="F772" s="6">
        <f>SUM(F769:F771)</f>
        <v>13000</v>
      </c>
      <c r="G772" s="6">
        <f>SUM(G769:G771)</f>
        <v>12000</v>
      </c>
    </row>
    <row r="773" spans="1:7" x14ac:dyDescent="0.25">
      <c r="A773" s="1" t="s">
        <v>2</v>
      </c>
      <c r="B773" s="1" t="s">
        <v>2</v>
      </c>
      <c r="C773" s="1" t="s">
        <v>2</v>
      </c>
      <c r="D773" s="1" t="s">
        <v>2</v>
      </c>
      <c r="E773" s="1"/>
      <c r="F773" s="1" t="s">
        <v>2</v>
      </c>
      <c r="G773" s="1" t="s">
        <v>2</v>
      </c>
    </row>
    <row r="774" spans="1:7" ht="15" customHeight="1" x14ac:dyDescent="0.25">
      <c r="A774" s="1" t="s">
        <v>706</v>
      </c>
      <c r="B774" s="1" t="s">
        <v>2</v>
      </c>
    </row>
    <row r="775" spans="1:7" x14ac:dyDescent="0.25">
      <c r="A775" s="2" t="s">
        <v>707</v>
      </c>
      <c r="B775" s="2" t="s">
        <v>708</v>
      </c>
      <c r="C775" s="3">
        <v>23811.599999999999</v>
      </c>
      <c r="D775" s="3">
        <v>0</v>
      </c>
      <c r="E775" s="3">
        <v>1568.21</v>
      </c>
      <c r="F775" s="3">
        <v>25217</v>
      </c>
      <c r="G775" s="59">
        <f>G1515</f>
        <v>26730.02</v>
      </c>
    </row>
    <row r="776" spans="1:7" x14ac:dyDescent="0.25">
      <c r="A776" s="2" t="s">
        <v>709</v>
      </c>
      <c r="B776" s="2" t="s">
        <v>710</v>
      </c>
      <c r="C776" s="3">
        <v>50000</v>
      </c>
      <c r="D776" s="3">
        <v>0</v>
      </c>
      <c r="E776" s="3">
        <v>0</v>
      </c>
      <c r="F776" s="3">
        <v>700000</v>
      </c>
      <c r="G776" s="59">
        <f>G806</f>
        <v>0</v>
      </c>
    </row>
    <row r="777" spans="1:7" x14ac:dyDescent="0.25">
      <c r="A777" s="2" t="s">
        <v>711</v>
      </c>
      <c r="B777" s="2" t="s">
        <v>712</v>
      </c>
      <c r="C777" s="3">
        <v>515000</v>
      </c>
      <c r="D777" s="3">
        <v>0</v>
      </c>
      <c r="E777" s="3">
        <v>0</v>
      </c>
      <c r="F777" s="3">
        <v>100000</v>
      </c>
      <c r="G777" s="59">
        <f>G827</f>
        <v>100000</v>
      </c>
    </row>
    <row r="778" spans="1:7" ht="15" customHeight="1" x14ac:dyDescent="0.25">
      <c r="A778" s="2" t="s">
        <v>713</v>
      </c>
      <c r="B778" s="2" t="s">
        <v>714</v>
      </c>
      <c r="C778" s="3">
        <v>570000</v>
      </c>
      <c r="D778" s="3">
        <v>0</v>
      </c>
      <c r="E778" s="3">
        <v>0</v>
      </c>
      <c r="F778" s="3">
        <v>40000</v>
      </c>
      <c r="G778" s="59">
        <f>G848</f>
        <v>40000</v>
      </c>
    </row>
    <row r="779" spans="1:7" ht="15" customHeight="1" x14ac:dyDescent="0.25">
      <c r="A779" s="2" t="s">
        <v>715</v>
      </c>
      <c r="B779" s="2" t="s">
        <v>716</v>
      </c>
      <c r="C779" s="3">
        <v>0</v>
      </c>
      <c r="D779" s="3">
        <v>0</v>
      </c>
      <c r="E779" s="3">
        <v>0</v>
      </c>
      <c r="F779" s="3">
        <v>0</v>
      </c>
      <c r="G779" s="59">
        <v>0</v>
      </c>
    </row>
    <row r="780" spans="1:7" ht="15" customHeight="1" x14ac:dyDescent="0.25">
      <c r="A780" s="2" t="s">
        <v>717</v>
      </c>
      <c r="B780" s="2" t="s">
        <v>718</v>
      </c>
      <c r="C780" s="3">
        <v>0</v>
      </c>
      <c r="D780" s="3">
        <v>0</v>
      </c>
      <c r="E780" s="3">
        <v>0</v>
      </c>
      <c r="F780" s="3">
        <v>0</v>
      </c>
      <c r="G780" s="59">
        <v>0</v>
      </c>
    </row>
    <row r="781" spans="1:7" ht="15" customHeight="1" x14ac:dyDescent="0.25">
      <c r="A781" s="2" t="s">
        <v>719</v>
      </c>
      <c r="B781" s="2" t="s">
        <v>720</v>
      </c>
      <c r="C781" s="3">
        <v>0</v>
      </c>
      <c r="D781" s="3">
        <v>0</v>
      </c>
      <c r="E781" s="3">
        <v>0</v>
      </c>
      <c r="F781" s="3">
        <v>0</v>
      </c>
      <c r="G781" s="59">
        <v>0</v>
      </c>
    </row>
    <row r="782" spans="1:7" x14ac:dyDescent="0.25">
      <c r="A782" s="2" t="s">
        <v>721</v>
      </c>
      <c r="B782" s="2" t="s">
        <v>722</v>
      </c>
      <c r="C782" s="3">
        <v>0</v>
      </c>
      <c r="D782" s="3">
        <v>0</v>
      </c>
      <c r="E782" s="3">
        <v>0</v>
      </c>
      <c r="F782" s="3">
        <v>0</v>
      </c>
      <c r="G782" s="59">
        <v>0</v>
      </c>
    </row>
    <row r="783" spans="1:7" ht="15" customHeight="1" x14ac:dyDescent="0.25">
      <c r="A783" s="2" t="s">
        <v>723</v>
      </c>
      <c r="B783" s="2" t="s">
        <v>724</v>
      </c>
      <c r="C783" s="3">
        <v>0</v>
      </c>
      <c r="D783" s="3">
        <v>0</v>
      </c>
      <c r="E783" s="3">
        <v>0</v>
      </c>
      <c r="F783" s="3">
        <v>0</v>
      </c>
      <c r="G783" s="59">
        <v>0</v>
      </c>
    </row>
    <row r="784" spans="1:7" ht="15" customHeight="1" x14ac:dyDescent="0.25">
      <c r="A784" s="2" t="s">
        <v>725</v>
      </c>
      <c r="B784" s="2" t="s">
        <v>726</v>
      </c>
      <c r="C784" s="3">
        <v>0</v>
      </c>
      <c r="D784" s="3">
        <v>0</v>
      </c>
      <c r="E784" s="3">
        <v>0</v>
      </c>
      <c r="F784" s="3">
        <v>0</v>
      </c>
      <c r="G784" s="59">
        <v>0</v>
      </c>
    </row>
    <row r="785" spans="1:8" ht="15" customHeight="1" x14ac:dyDescent="0.25">
      <c r="A785" s="2" t="s">
        <v>727</v>
      </c>
      <c r="B785" s="2" t="s">
        <v>728</v>
      </c>
      <c r="C785" s="3">
        <v>40277.4</v>
      </c>
      <c r="D785" s="3">
        <v>0</v>
      </c>
      <c r="E785" s="3">
        <v>0</v>
      </c>
      <c r="F785" s="3">
        <v>0</v>
      </c>
      <c r="G785" s="59">
        <v>0</v>
      </c>
    </row>
    <row r="786" spans="1:8" ht="15" customHeight="1" x14ac:dyDescent="0.25">
      <c r="A786" s="2" t="s">
        <v>729</v>
      </c>
      <c r="B786" s="2" t="s">
        <v>730</v>
      </c>
      <c r="C786" s="3">
        <v>33976.43</v>
      </c>
      <c r="D786" s="3">
        <v>0</v>
      </c>
      <c r="E786" s="3">
        <v>0</v>
      </c>
      <c r="F786" s="3">
        <v>0</v>
      </c>
      <c r="G786" s="59">
        <v>0</v>
      </c>
    </row>
    <row r="787" spans="1:8" ht="15" customHeight="1" x14ac:dyDescent="0.25">
      <c r="A787" s="2" t="s">
        <v>731</v>
      </c>
      <c r="B787" s="2" t="s">
        <v>732</v>
      </c>
      <c r="C787" s="3">
        <v>0</v>
      </c>
      <c r="D787" s="3">
        <v>0</v>
      </c>
      <c r="E787" s="3">
        <v>0</v>
      </c>
      <c r="F787" s="3">
        <v>40000</v>
      </c>
      <c r="G787" s="59">
        <v>0</v>
      </c>
    </row>
    <row r="788" spans="1:8" ht="15" customHeight="1" x14ac:dyDescent="0.25">
      <c r="A788" s="2" t="s">
        <v>733</v>
      </c>
      <c r="B788" s="2" t="s">
        <v>734</v>
      </c>
      <c r="C788" s="3">
        <v>0</v>
      </c>
      <c r="D788" s="3">
        <v>0</v>
      </c>
      <c r="E788" s="3">
        <v>0</v>
      </c>
      <c r="F788" s="3">
        <v>40000</v>
      </c>
      <c r="G788" s="59">
        <v>0</v>
      </c>
    </row>
    <row r="789" spans="1:8" ht="15" customHeight="1" x14ac:dyDescent="0.25">
      <c r="A789" s="2" t="s">
        <v>735</v>
      </c>
      <c r="B789" s="2" t="s">
        <v>736</v>
      </c>
      <c r="C789" s="3">
        <v>0</v>
      </c>
      <c r="D789" s="3">
        <v>0</v>
      </c>
      <c r="E789" s="3">
        <v>0</v>
      </c>
      <c r="F789" s="3">
        <v>100000</v>
      </c>
      <c r="G789" s="59">
        <v>0</v>
      </c>
    </row>
    <row r="790" spans="1:8" ht="15" customHeight="1" x14ac:dyDescent="0.25">
      <c r="A790" s="1" t="s">
        <v>737</v>
      </c>
      <c r="B790" s="1" t="s">
        <v>2</v>
      </c>
      <c r="C790" s="4">
        <v>1233065.43</v>
      </c>
      <c r="D790" s="4">
        <v>0</v>
      </c>
      <c r="E790" s="4">
        <f>SUM(E775:E789)</f>
        <v>1568.21</v>
      </c>
      <c r="F790" s="6">
        <f>SUM(F775:F789)</f>
        <v>1045217</v>
      </c>
      <c r="G790" s="6">
        <f>SUM(G775:G789)</f>
        <v>166730.02000000002</v>
      </c>
    </row>
    <row r="791" spans="1:8" x14ac:dyDescent="0.25">
      <c r="A791" s="1" t="s">
        <v>2</v>
      </c>
      <c r="B791" s="1" t="s">
        <v>2</v>
      </c>
      <c r="C791" s="1" t="s">
        <v>2</v>
      </c>
      <c r="D791" s="1" t="s">
        <v>2</v>
      </c>
      <c r="E791" s="1"/>
      <c r="F791" s="1" t="s">
        <v>2</v>
      </c>
      <c r="G791" s="1" t="s">
        <v>2</v>
      </c>
    </row>
    <row r="792" spans="1:8" ht="15" customHeight="1" x14ac:dyDescent="0.25">
      <c r="A792" s="1" t="s">
        <v>738</v>
      </c>
      <c r="B792" s="1" t="s">
        <v>2</v>
      </c>
      <c r="C792" s="4">
        <v>11855770.960000001</v>
      </c>
      <c r="D792" s="4">
        <v>5063979.25</v>
      </c>
      <c r="E792" s="4">
        <f>E315+E344+E366+E382+E405+E424+E431+E483+E568+E589+E614+E619+E649+E665+E669+E673+E728+E732+E766+E772+E790</f>
        <v>8184053.4300000034</v>
      </c>
      <c r="F792" s="6">
        <f>F790+F772+F766+F732+F728+F673+F669+F665+F649+F619+F614+F589+F568+F483+F431+F424+F405+F382+F366+F344+F315</f>
        <v>11900688.880000003</v>
      </c>
      <c r="G792" s="6">
        <f>G790+G772+G766+G732+G728+G673+G669+G665+G649+G619+G614+G589+G566+G509+G494+G483+G431+G424+G405+G382+G366+G344+G315</f>
        <v>12271413.316050002</v>
      </c>
      <c r="H792" s="41">
        <f>G304-G792</f>
        <v>-2655098.0960500035</v>
      </c>
    </row>
    <row r="793" spans="1:8" ht="15" customHeight="1" x14ac:dyDescent="0.25">
      <c r="A793" s="25" t="s">
        <v>2550</v>
      </c>
      <c r="B793" s="25"/>
      <c r="C793" s="26">
        <f>C6+C304-C792</f>
        <v>6294005.1400000006</v>
      </c>
      <c r="D793" s="26">
        <f t="shared" ref="D793" si="16">D6+D304-D792</f>
        <v>6860374.6699999999</v>
      </c>
      <c r="E793" s="26">
        <f>E6+E304-E792</f>
        <v>6558998.2899999991</v>
      </c>
      <c r="F793" s="26">
        <f>F6+F304-F792</f>
        <v>4060221.9399999976</v>
      </c>
      <c r="G793" s="26">
        <f>G6+G304-G792</f>
        <v>1405123.8439499941</v>
      </c>
      <c r="H793" s="26"/>
    </row>
    <row r="794" spans="1:8" x14ac:dyDescent="0.25">
      <c r="A794" s="1" t="s">
        <v>2</v>
      </c>
      <c r="B794" s="1" t="s">
        <v>2</v>
      </c>
      <c r="C794" s="1" t="s">
        <v>2</v>
      </c>
      <c r="D794" s="1" t="s">
        <v>2</v>
      </c>
      <c r="E794" s="1"/>
      <c r="F794" s="24"/>
      <c r="G794" s="1" t="s">
        <v>2</v>
      </c>
    </row>
    <row r="795" spans="1:8" ht="15" customHeight="1" x14ac:dyDescent="0.25">
      <c r="A795" s="27" t="s">
        <v>2551</v>
      </c>
      <c r="B795" s="27"/>
      <c r="C795" s="28">
        <v>156253.20000000001</v>
      </c>
      <c r="D795" s="28">
        <v>206453.45</v>
      </c>
      <c r="E795" s="28">
        <v>206453.45</v>
      </c>
      <c r="F795" s="28">
        <v>206453.45</v>
      </c>
      <c r="G795" s="28">
        <f>F813</f>
        <v>906453.45</v>
      </c>
      <c r="H795" s="27"/>
    </row>
    <row r="796" spans="1:8" ht="24" x14ac:dyDescent="0.25">
      <c r="A796" s="23" t="s">
        <v>739</v>
      </c>
      <c r="B796" s="23" t="s">
        <v>2</v>
      </c>
      <c r="C796" s="29"/>
      <c r="D796" s="29"/>
      <c r="E796" s="29"/>
      <c r="F796" s="29"/>
      <c r="G796" s="29"/>
      <c r="H796" s="29"/>
    </row>
    <row r="797" spans="1:8" x14ac:dyDescent="0.25">
      <c r="A797" s="23" t="s">
        <v>2026</v>
      </c>
      <c r="B797" s="23" t="s">
        <v>2</v>
      </c>
      <c r="C797" s="29"/>
      <c r="D797" s="29"/>
      <c r="E797" s="29"/>
      <c r="F797" s="29"/>
      <c r="G797" s="29"/>
      <c r="H797" s="29"/>
    </row>
    <row r="798" spans="1:8" x14ac:dyDescent="0.25">
      <c r="A798" s="23" t="s">
        <v>2175</v>
      </c>
      <c r="B798" s="23" t="s">
        <v>2</v>
      </c>
      <c r="C798" s="29"/>
      <c r="D798" s="29"/>
      <c r="E798" s="29"/>
      <c r="F798" s="29"/>
      <c r="G798" s="29"/>
      <c r="H798" s="29"/>
    </row>
    <row r="799" spans="1:8" x14ac:dyDescent="0.25">
      <c r="A799" s="23" t="s">
        <v>2176</v>
      </c>
      <c r="B799" s="23" t="s">
        <v>2</v>
      </c>
      <c r="C799" s="29"/>
      <c r="D799" s="29"/>
      <c r="E799" s="29"/>
      <c r="F799" s="29"/>
      <c r="G799" s="29"/>
      <c r="H799" s="29"/>
    </row>
    <row r="800" spans="1:8" x14ac:dyDescent="0.25">
      <c r="A800" s="30" t="s">
        <v>2552</v>
      </c>
      <c r="B800" s="30" t="s">
        <v>2409</v>
      </c>
      <c r="C800" s="31">
        <v>200.25</v>
      </c>
      <c r="D800" s="31">
        <v>151.88999999999999</v>
      </c>
      <c r="E800" s="31">
        <v>447.3</v>
      </c>
      <c r="F800" s="31">
        <v>0</v>
      </c>
      <c r="G800" s="31">
        <v>0</v>
      </c>
      <c r="H800" s="29"/>
    </row>
    <row r="801" spans="1:8" ht="24" x14ac:dyDescent="0.25">
      <c r="A801" s="23" t="s">
        <v>2179</v>
      </c>
      <c r="B801" s="23" t="s">
        <v>2</v>
      </c>
      <c r="C801" s="32">
        <v>200.25</v>
      </c>
      <c r="D801" s="32">
        <v>151.88999999999999</v>
      </c>
      <c r="E801" s="32">
        <f>E800</f>
        <v>447.3</v>
      </c>
      <c r="F801" s="32">
        <f>SUM(F800)</f>
        <v>0</v>
      </c>
      <c r="G801" s="32">
        <f>SUM(G800)</f>
        <v>0</v>
      </c>
      <c r="H801" s="29"/>
    </row>
    <row r="802" spans="1:8" x14ac:dyDescent="0.25">
      <c r="A802" s="23" t="s">
        <v>2</v>
      </c>
      <c r="B802" s="23" t="s">
        <v>2</v>
      </c>
      <c r="C802" s="23" t="s">
        <v>2</v>
      </c>
      <c r="D802" s="23" t="s">
        <v>2</v>
      </c>
      <c r="E802" s="23"/>
      <c r="F802" s="23" t="s">
        <v>2</v>
      </c>
      <c r="G802" s="23" t="s">
        <v>2</v>
      </c>
      <c r="H802" s="29"/>
    </row>
    <row r="803" spans="1:8" ht="24" x14ac:dyDescent="0.25">
      <c r="A803" s="23" t="s">
        <v>2180</v>
      </c>
      <c r="B803" s="23" t="s">
        <v>2</v>
      </c>
      <c r="C803" s="32">
        <v>200.25</v>
      </c>
      <c r="D803" s="32">
        <v>151.88999999999999</v>
      </c>
      <c r="E803" s="32">
        <f>E801</f>
        <v>447.3</v>
      </c>
      <c r="F803" s="32">
        <f>F801</f>
        <v>0</v>
      </c>
      <c r="G803" s="32">
        <f>G801</f>
        <v>0</v>
      </c>
      <c r="H803" s="29"/>
    </row>
    <row r="804" spans="1:8" x14ac:dyDescent="0.25">
      <c r="A804" s="23" t="s">
        <v>2</v>
      </c>
      <c r="B804" s="23" t="s">
        <v>2</v>
      </c>
      <c r="C804" s="23" t="s">
        <v>2</v>
      </c>
      <c r="D804" s="23" t="s">
        <v>2</v>
      </c>
      <c r="E804" s="23"/>
      <c r="F804" s="23" t="s">
        <v>2</v>
      </c>
      <c r="G804" s="23" t="s">
        <v>2</v>
      </c>
      <c r="H804" s="29"/>
    </row>
    <row r="805" spans="1:8" x14ac:dyDescent="0.25">
      <c r="A805" s="23" t="s">
        <v>2553</v>
      </c>
      <c r="B805" s="23" t="s">
        <v>2</v>
      </c>
      <c r="C805" s="29"/>
      <c r="D805" s="29"/>
      <c r="E805" s="29"/>
      <c r="F805" s="29"/>
      <c r="G805" s="29"/>
      <c r="H805" s="29"/>
    </row>
    <row r="806" spans="1:8" x14ac:dyDescent="0.25">
      <c r="A806" s="30" t="s">
        <v>2554</v>
      </c>
      <c r="B806" s="30" t="s">
        <v>2555</v>
      </c>
      <c r="C806" s="31">
        <v>50000</v>
      </c>
      <c r="D806" s="31">
        <v>0</v>
      </c>
      <c r="E806" s="31">
        <v>0</v>
      </c>
      <c r="F806" s="31">
        <v>700000</v>
      </c>
      <c r="G806" s="31">
        <v>0</v>
      </c>
      <c r="H806" s="29"/>
    </row>
    <row r="807" spans="1:8" ht="24" x14ac:dyDescent="0.25">
      <c r="A807" s="23" t="s">
        <v>2556</v>
      </c>
      <c r="B807" s="23" t="s">
        <v>2</v>
      </c>
      <c r="C807" s="32">
        <v>50000</v>
      </c>
      <c r="D807" s="32">
        <v>0</v>
      </c>
      <c r="E807" s="32">
        <f>E806</f>
        <v>0</v>
      </c>
      <c r="F807" s="32">
        <f>SUM(F806)</f>
        <v>700000</v>
      </c>
      <c r="G807" s="32">
        <f>SUM(G806)</f>
        <v>0</v>
      </c>
      <c r="H807" s="29"/>
    </row>
    <row r="808" spans="1:8" x14ac:dyDescent="0.25">
      <c r="A808" s="23" t="s">
        <v>2</v>
      </c>
      <c r="B808" s="23" t="s">
        <v>2</v>
      </c>
      <c r="C808" s="23" t="s">
        <v>2</v>
      </c>
      <c r="D808" s="23" t="s">
        <v>2</v>
      </c>
      <c r="E808" s="23"/>
      <c r="F808" s="23" t="s">
        <v>2</v>
      </c>
      <c r="G808" s="23" t="s">
        <v>2</v>
      </c>
      <c r="H808" s="29"/>
    </row>
    <row r="809" spans="1:8" x14ac:dyDescent="0.25">
      <c r="A809" s="23" t="s">
        <v>2047</v>
      </c>
      <c r="B809" s="23" t="s">
        <v>2</v>
      </c>
      <c r="C809" s="32">
        <v>50200.25</v>
      </c>
      <c r="D809" s="32">
        <v>151.88999999999999</v>
      </c>
      <c r="E809" s="32">
        <f>E803+E807</f>
        <v>447.3</v>
      </c>
      <c r="F809" s="32">
        <f>F807+F803</f>
        <v>700000</v>
      </c>
      <c r="G809" s="32">
        <f>G807+G803</f>
        <v>0</v>
      </c>
      <c r="H809" s="29"/>
    </row>
    <row r="810" spans="1:8" x14ac:dyDescent="0.25">
      <c r="A810" s="1" t="s">
        <v>740</v>
      </c>
      <c r="B810" s="1" t="s">
        <v>2</v>
      </c>
    </row>
    <row r="811" spans="1:8" ht="15" customHeight="1" x14ac:dyDescent="0.25">
      <c r="A811" s="2" t="s">
        <v>741</v>
      </c>
      <c r="B811" s="2" t="s">
        <v>742</v>
      </c>
      <c r="C811" s="3">
        <v>0</v>
      </c>
      <c r="D811" s="3">
        <v>0</v>
      </c>
      <c r="E811" s="3">
        <v>0</v>
      </c>
      <c r="F811" s="3">
        <v>0</v>
      </c>
      <c r="G811" s="5">
        <v>0</v>
      </c>
    </row>
    <row r="812" spans="1:8" ht="15" customHeight="1" x14ac:dyDescent="0.25">
      <c r="A812" s="1" t="s">
        <v>743</v>
      </c>
      <c r="B812" s="1" t="s">
        <v>2</v>
      </c>
      <c r="C812" s="4">
        <v>0</v>
      </c>
      <c r="D812" s="4">
        <v>0</v>
      </c>
      <c r="E812" s="4">
        <f>E811</f>
        <v>0</v>
      </c>
      <c r="F812" s="6">
        <f>SUM(F811)</f>
        <v>0</v>
      </c>
      <c r="G812" s="6">
        <f>SUM(G811)</f>
        <v>0</v>
      </c>
    </row>
    <row r="813" spans="1:8" ht="15" customHeight="1" x14ac:dyDescent="0.25">
      <c r="A813" s="25" t="s">
        <v>2557</v>
      </c>
      <c r="B813" s="25"/>
      <c r="C813" s="33">
        <f>C795+C809-C812</f>
        <v>206453.45</v>
      </c>
      <c r="D813" s="33">
        <f>D795+D809-D812</f>
        <v>206605.34000000003</v>
      </c>
      <c r="E813" s="33">
        <f>E795+E809-E812</f>
        <v>206900.75</v>
      </c>
      <c r="F813" s="33">
        <f>F795+F809-F812</f>
        <v>906453.45</v>
      </c>
      <c r="G813" s="33">
        <f>G795+G809-G812</f>
        <v>906453.45</v>
      </c>
      <c r="H813" s="25"/>
    </row>
    <row r="814" spans="1:8" x14ac:dyDescent="0.25">
      <c r="A814" s="1" t="s">
        <v>2</v>
      </c>
      <c r="B814" s="1" t="s">
        <v>2</v>
      </c>
      <c r="C814" s="1" t="s">
        <v>2</v>
      </c>
      <c r="D814" s="1" t="s">
        <v>2</v>
      </c>
      <c r="E814" s="1"/>
      <c r="F814" s="1" t="s">
        <v>2</v>
      </c>
      <c r="G814" s="1" t="s">
        <v>2</v>
      </c>
    </row>
    <row r="815" spans="1:8" ht="15" customHeight="1" x14ac:dyDescent="0.25">
      <c r="A815" s="27" t="s">
        <v>2558</v>
      </c>
      <c r="B815" s="27"/>
      <c r="C815" s="28">
        <v>51153.98</v>
      </c>
      <c r="D815" s="28">
        <v>1016610.91</v>
      </c>
      <c r="E815" s="28">
        <v>1016610.91</v>
      </c>
      <c r="F815" s="28">
        <v>1016610.91</v>
      </c>
      <c r="G815" s="28">
        <f>F834</f>
        <v>1616610.9100000001</v>
      </c>
      <c r="H815" s="27"/>
    </row>
    <row r="816" spans="1:8" x14ac:dyDescent="0.25">
      <c r="A816" s="23" t="s">
        <v>744</v>
      </c>
      <c r="B816" s="23" t="s">
        <v>2</v>
      </c>
      <c r="C816" s="29"/>
      <c r="D816" s="29"/>
      <c r="E816" s="29"/>
      <c r="F816" s="29"/>
      <c r="G816" s="29"/>
      <c r="H816" s="29"/>
    </row>
    <row r="817" spans="1:8" x14ac:dyDescent="0.25">
      <c r="A817" s="23" t="s">
        <v>2026</v>
      </c>
      <c r="B817" s="23" t="s">
        <v>2</v>
      </c>
      <c r="C817" s="29"/>
      <c r="D817" s="29"/>
      <c r="E817" s="29"/>
      <c r="F817" s="29"/>
      <c r="G817" s="29"/>
      <c r="H817" s="29"/>
    </row>
    <row r="818" spans="1:8" x14ac:dyDescent="0.25">
      <c r="A818" s="23" t="s">
        <v>2175</v>
      </c>
      <c r="B818" s="23" t="s">
        <v>2</v>
      </c>
      <c r="C818" s="29"/>
      <c r="D818" s="29"/>
      <c r="E818" s="29"/>
      <c r="F818" s="29"/>
      <c r="G818" s="29"/>
      <c r="H818" s="29"/>
    </row>
    <row r="819" spans="1:8" x14ac:dyDescent="0.25">
      <c r="A819" s="23" t="s">
        <v>2176</v>
      </c>
      <c r="B819" s="23" t="s">
        <v>2</v>
      </c>
      <c r="C819" s="29"/>
      <c r="D819" s="29"/>
      <c r="E819" s="29"/>
      <c r="F819" s="29"/>
      <c r="G819" s="29"/>
      <c r="H819" s="29"/>
    </row>
    <row r="820" spans="1:8" x14ac:dyDescent="0.25">
      <c r="A820" s="30" t="s">
        <v>2559</v>
      </c>
      <c r="B820" s="30" t="s">
        <v>2409</v>
      </c>
      <c r="C820" s="31">
        <v>456.93</v>
      </c>
      <c r="D820" s="31">
        <v>747.94</v>
      </c>
      <c r="E820" s="31">
        <v>2202.5700000000002</v>
      </c>
      <c r="F820" s="31">
        <v>0</v>
      </c>
      <c r="G820" s="31">
        <v>0</v>
      </c>
      <c r="H820" s="29"/>
    </row>
    <row r="821" spans="1:8" ht="24" x14ac:dyDescent="0.25">
      <c r="A821" s="23" t="s">
        <v>2179</v>
      </c>
      <c r="B821" s="23" t="s">
        <v>2</v>
      </c>
      <c r="C821" s="32">
        <v>456.93</v>
      </c>
      <c r="D821" s="32">
        <v>747.94</v>
      </c>
      <c r="E821" s="32">
        <f>E820</f>
        <v>2202.5700000000002</v>
      </c>
      <c r="F821" s="32">
        <f>SUM(F820)</f>
        <v>0</v>
      </c>
      <c r="G821" s="32">
        <f>SUM(G820)</f>
        <v>0</v>
      </c>
      <c r="H821" s="29"/>
    </row>
    <row r="822" spans="1:8" x14ac:dyDescent="0.25">
      <c r="A822" s="23" t="s">
        <v>2</v>
      </c>
      <c r="B822" s="23" t="s">
        <v>2</v>
      </c>
      <c r="C822" s="23" t="s">
        <v>2</v>
      </c>
      <c r="D822" s="23" t="s">
        <v>2</v>
      </c>
      <c r="E822" s="23"/>
      <c r="F822" s="23" t="s">
        <v>2</v>
      </c>
      <c r="G822" s="23" t="s">
        <v>2</v>
      </c>
      <c r="H822" s="29"/>
    </row>
    <row r="823" spans="1:8" ht="24" x14ac:dyDescent="0.25">
      <c r="A823" s="23" t="s">
        <v>2180</v>
      </c>
      <c r="B823" s="23" t="s">
        <v>2</v>
      </c>
      <c r="C823" s="32">
        <v>456.93</v>
      </c>
      <c r="D823" s="32">
        <v>747.94</v>
      </c>
      <c r="E823" s="32">
        <f>E821</f>
        <v>2202.5700000000002</v>
      </c>
      <c r="F823" s="32">
        <f>F821</f>
        <v>0</v>
      </c>
      <c r="G823" s="32">
        <f>G821</f>
        <v>0</v>
      </c>
      <c r="H823" s="29"/>
    </row>
    <row r="824" spans="1:8" x14ac:dyDescent="0.25">
      <c r="A824" s="23" t="s">
        <v>2</v>
      </c>
      <c r="B824" s="23" t="s">
        <v>2</v>
      </c>
      <c r="C824" s="23" t="s">
        <v>2</v>
      </c>
      <c r="D824" s="23" t="s">
        <v>2</v>
      </c>
      <c r="E824" s="23"/>
      <c r="F824" s="23" t="s">
        <v>2</v>
      </c>
      <c r="G824" s="23" t="s">
        <v>2</v>
      </c>
      <c r="H824" s="29"/>
    </row>
    <row r="825" spans="1:8" x14ac:dyDescent="0.25">
      <c r="A825" s="23" t="s">
        <v>2553</v>
      </c>
      <c r="B825" s="23" t="s">
        <v>2</v>
      </c>
      <c r="C825" s="29"/>
      <c r="D825" s="29"/>
      <c r="E825" s="29"/>
      <c r="F825" s="29"/>
      <c r="G825" s="29"/>
      <c r="H825" s="29"/>
    </row>
    <row r="826" spans="1:8" x14ac:dyDescent="0.25">
      <c r="A826" s="30" t="s">
        <v>2560</v>
      </c>
      <c r="B826" s="30" t="s">
        <v>2561</v>
      </c>
      <c r="C826" s="31">
        <v>500000</v>
      </c>
      <c r="D826" s="31">
        <v>0</v>
      </c>
      <c r="E826" s="31">
        <v>0</v>
      </c>
      <c r="F826" s="31">
        <v>500000</v>
      </c>
      <c r="G826" s="58">
        <v>0</v>
      </c>
      <c r="H826" s="29"/>
    </row>
    <row r="827" spans="1:8" x14ac:dyDescent="0.25">
      <c r="A827" s="30" t="s">
        <v>2562</v>
      </c>
      <c r="B827" s="30" t="s">
        <v>2555</v>
      </c>
      <c r="C827" s="31">
        <v>515000</v>
      </c>
      <c r="D827" s="31">
        <v>0</v>
      </c>
      <c r="E827" s="31">
        <v>0</v>
      </c>
      <c r="F827" s="31">
        <v>100000</v>
      </c>
      <c r="G827" s="31">
        <v>100000</v>
      </c>
      <c r="H827" s="29"/>
    </row>
    <row r="828" spans="1:8" ht="24" x14ac:dyDescent="0.25">
      <c r="A828" s="23" t="s">
        <v>2556</v>
      </c>
      <c r="B828" s="23" t="s">
        <v>2</v>
      </c>
      <c r="C828" s="32">
        <v>1015000</v>
      </c>
      <c r="D828" s="32">
        <v>0</v>
      </c>
      <c r="E828" s="32">
        <f>E826+E827</f>
        <v>0</v>
      </c>
      <c r="F828" s="32">
        <f>SUM(F826:F827)</f>
        <v>600000</v>
      </c>
      <c r="G828" s="32">
        <f>SUM(G826:G827)</f>
        <v>100000</v>
      </c>
      <c r="H828" s="29"/>
    </row>
    <row r="829" spans="1:8" x14ac:dyDescent="0.25">
      <c r="A829" s="23" t="s">
        <v>2</v>
      </c>
      <c r="B829" s="23" t="s">
        <v>2</v>
      </c>
      <c r="C829" s="23" t="s">
        <v>2</v>
      </c>
      <c r="D829" s="23" t="s">
        <v>2</v>
      </c>
      <c r="E829" s="23"/>
      <c r="F829" s="23" t="s">
        <v>2</v>
      </c>
      <c r="G829" s="23" t="s">
        <v>2</v>
      </c>
      <c r="H829" s="29"/>
    </row>
    <row r="830" spans="1:8" x14ac:dyDescent="0.25">
      <c r="A830" s="23" t="s">
        <v>2047</v>
      </c>
      <c r="B830" s="23" t="s">
        <v>2</v>
      </c>
      <c r="C830" s="32">
        <v>1015456.93</v>
      </c>
      <c r="D830" s="32">
        <v>747.94</v>
      </c>
      <c r="E830" s="32">
        <f>E823+E828</f>
        <v>2202.5700000000002</v>
      </c>
      <c r="F830" s="32">
        <f>F823+F828</f>
        <v>600000</v>
      </c>
      <c r="G830" s="32">
        <f>G823+G828</f>
        <v>100000</v>
      </c>
      <c r="H830" s="29"/>
    </row>
    <row r="831" spans="1:8" x14ac:dyDescent="0.25">
      <c r="A831" s="1" t="s">
        <v>740</v>
      </c>
      <c r="B831" s="1" t="s">
        <v>2</v>
      </c>
    </row>
    <row r="832" spans="1:8" ht="15" customHeight="1" x14ac:dyDescent="0.25">
      <c r="A832" s="2" t="s">
        <v>745</v>
      </c>
      <c r="B832" s="2" t="s">
        <v>746</v>
      </c>
      <c r="C832" s="3">
        <v>50000</v>
      </c>
      <c r="D832" s="3">
        <v>0</v>
      </c>
      <c r="E832" s="3">
        <v>0</v>
      </c>
      <c r="F832" s="3">
        <v>0</v>
      </c>
      <c r="G832" s="59">
        <v>0</v>
      </c>
    </row>
    <row r="833" spans="1:8" ht="15" customHeight="1" x14ac:dyDescent="0.25">
      <c r="A833" s="1" t="s">
        <v>747</v>
      </c>
      <c r="B833" s="1" t="s">
        <v>2</v>
      </c>
      <c r="C833" s="4">
        <v>50000</v>
      </c>
      <c r="D833" s="4">
        <v>0</v>
      </c>
      <c r="E833" s="4">
        <f>E832</f>
        <v>0</v>
      </c>
      <c r="F833" s="6">
        <f>SUM(F832)</f>
        <v>0</v>
      </c>
      <c r="G833" s="6">
        <f>SUM(G832)</f>
        <v>0</v>
      </c>
    </row>
    <row r="834" spans="1:8" ht="15" customHeight="1" x14ac:dyDescent="0.25">
      <c r="A834" s="25" t="s">
        <v>2563</v>
      </c>
      <c r="B834" s="25"/>
      <c r="C834" s="33">
        <f>C815+C830-C833</f>
        <v>1016610.9100000001</v>
      </c>
      <c r="D834" s="33">
        <f>D815+D830-D833</f>
        <v>1017358.85</v>
      </c>
      <c r="E834" s="33">
        <f>E815+E830-E833</f>
        <v>1018813.48</v>
      </c>
      <c r="F834" s="33">
        <f>F815+F830-F833</f>
        <v>1616610.9100000001</v>
      </c>
      <c r="G834" s="33">
        <f>G815+G830-G833</f>
        <v>1716610.9100000001</v>
      </c>
      <c r="H834" s="25"/>
    </row>
    <row r="835" spans="1:8" ht="15" customHeight="1" x14ac:dyDescent="0.25">
      <c r="A835" s="34"/>
      <c r="B835" s="34"/>
      <c r="C835" s="35"/>
      <c r="D835" s="35"/>
      <c r="E835" s="35"/>
      <c r="F835" s="35"/>
      <c r="G835" s="35"/>
      <c r="H835" s="34"/>
    </row>
    <row r="836" spans="1:8" ht="15" customHeight="1" x14ac:dyDescent="0.25">
      <c r="A836" s="27" t="s">
        <v>2569</v>
      </c>
      <c r="B836" s="27" t="s">
        <v>2</v>
      </c>
      <c r="C836" s="28">
        <v>989337.56</v>
      </c>
      <c r="D836" s="28">
        <v>1626745.3</v>
      </c>
      <c r="E836" s="28">
        <v>1626745.3</v>
      </c>
      <c r="F836" s="28">
        <v>1626745.3</v>
      </c>
      <c r="G836" s="28">
        <f>F857</f>
        <v>1696745.3</v>
      </c>
      <c r="H836" s="27"/>
    </row>
    <row r="837" spans="1:8" x14ac:dyDescent="0.25">
      <c r="A837" s="23" t="s">
        <v>748</v>
      </c>
      <c r="B837" s="23" t="s">
        <v>2</v>
      </c>
      <c r="C837" s="29"/>
      <c r="D837" s="29"/>
      <c r="E837" s="29"/>
      <c r="F837" s="29"/>
      <c r="G837" s="29"/>
      <c r="H837" s="29"/>
    </row>
    <row r="838" spans="1:8" x14ac:dyDescent="0.25">
      <c r="A838" s="23" t="s">
        <v>2026</v>
      </c>
      <c r="B838" s="23" t="s">
        <v>2</v>
      </c>
      <c r="C838" s="29"/>
      <c r="D838" s="29"/>
      <c r="E838" s="29"/>
      <c r="F838" s="29"/>
      <c r="G838" s="29"/>
      <c r="H838" s="29"/>
    </row>
    <row r="839" spans="1:8" x14ac:dyDescent="0.25">
      <c r="A839" s="23" t="s">
        <v>2176</v>
      </c>
      <c r="B839" s="23" t="s">
        <v>2</v>
      </c>
      <c r="C839" s="29"/>
      <c r="D839" s="29"/>
      <c r="E839" s="29"/>
      <c r="F839" s="29"/>
      <c r="G839" s="29"/>
      <c r="H839" s="29"/>
    </row>
    <row r="840" spans="1:8" x14ac:dyDescent="0.25">
      <c r="A840" s="23" t="s">
        <v>2570</v>
      </c>
      <c r="B840" s="23" t="s">
        <v>2</v>
      </c>
      <c r="C840" s="29"/>
      <c r="D840" s="29"/>
      <c r="E840" s="29"/>
      <c r="F840" s="29"/>
      <c r="G840" s="29"/>
      <c r="H840" s="29"/>
    </row>
    <row r="841" spans="1:8" x14ac:dyDescent="0.25">
      <c r="A841" s="30" t="s">
        <v>2565</v>
      </c>
      <c r="B841" s="30" t="s">
        <v>2409</v>
      </c>
      <c r="C841" s="31">
        <v>1072.47</v>
      </c>
      <c r="D841" s="31">
        <v>849.51</v>
      </c>
      <c r="E841" s="31">
        <v>2924.68</v>
      </c>
      <c r="F841" s="31">
        <v>0</v>
      </c>
      <c r="G841" s="31">
        <v>0</v>
      </c>
      <c r="H841" s="29"/>
    </row>
    <row r="842" spans="1:8" x14ac:dyDescent="0.25">
      <c r="A842" s="23" t="s">
        <v>2564</v>
      </c>
      <c r="B842" s="23" t="s">
        <v>2</v>
      </c>
      <c r="C842" s="32">
        <v>1072.47</v>
      </c>
      <c r="D842" s="32">
        <v>849.51</v>
      </c>
      <c r="E842" s="32">
        <f>E841</f>
        <v>2924.68</v>
      </c>
      <c r="F842" s="32">
        <f>SUM(F841)</f>
        <v>0</v>
      </c>
      <c r="G842" s="32">
        <f>SUM(G841)</f>
        <v>0</v>
      </c>
      <c r="H842" s="29"/>
    </row>
    <row r="843" spans="1:8" x14ac:dyDescent="0.25">
      <c r="A843" s="23" t="s">
        <v>2</v>
      </c>
      <c r="B843" s="23" t="s">
        <v>2</v>
      </c>
      <c r="C843" s="23" t="s">
        <v>2</v>
      </c>
      <c r="D843" s="23" t="s">
        <v>2</v>
      </c>
      <c r="E843" s="23"/>
      <c r="F843" s="23" t="s">
        <v>2</v>
      </c>
      <c r="G843" s="23" t="s">
        <v>2</v>
      </c>
      <c r="H843" s="29"/>
    </row>
    <row r="844" spans="1:8" ht="24" x14ac:dyDescent="0.25">
      <c r="A844" s="23" t="s">
        <v>2179</v>
      </c>
      <c r="B844" s="23" t="s">
        <v>2</v>
      </c>
      <c r="C844" s="32">
        <v>1072.47</v>
      </c>
      <c r="D844" s="32">
        <v>849.51</v>
      </c>
      <c r="E844" s="32">
        <f>E842</f>
        <v>2924.68</v>
      </c>
      <c r="F844" s="32">
        <f>F842</f>
        <v>0</v>
      </c>
      <c r="G844" s="32">
        <f>G842</f>
        <v>0</v>
      </c>
      <c r="H844" s="29"/>
    </row>
    <row r="845" spans="1:8" x14ac:dyDescent="0.25">
      <c r="A845" s="23" t="s">
        <v>2</v>
      </c>
      <c r="B845" s="23" t="s">
        <v>2</v>
      </c>
      <c r="C845" s="23" t="s">
        <v>2</v>
      </c>
      <c r="D845" s="23" t="s">
        <v>2</v>
      </c>
      <c r="E845" s="23"/>
      <c r="F845" s="23" t="s">
        <v>2</v>
      </c>
      <c r="G845" s="23" t="s">
        <v>2</v>
      </c>
      <c r="H845" s="29"/>
    </row>
    <row r="846" spans="1:8" x14ac:dyDescent="0.25">
      <c r="A846" s="23" t="s">
        <v>2553</v>
      </c>
      <c r="B846" s="23" t="s">
        <v>2</v>
      </c>
      <c r="C846" s="29"/>
      <c r="D846" s="29"/>
      <c r="E846" s="29"/>
      <c r="F846" s="29"/>
      <c r="G846" s="29"/>
      <c r="H846" s="29"/>
    </row>
    <row r="847" spans="1:8" x14ac:dyDescent="0.25">
      <c r="A847" s="30" t="s">
        <v>2566</v>
      </c>
      <c r="B847" s="30" t="s">
        <v>2567</v>
      </c>
      <c r="C847" s="31">
        <v>100000</v>
      </c>
      <c r="D847" s="31">
        <v>0</v>
      </c>
      <c r="E847" s="31">
        <v>0</v>
      </c>
      <c r="F847" s="31">
        <v>100000</v>
      </c>
      <c r="G847" s="58">
        <v>0</v>
      </c>
      <c r="H847" s="29"/>
    </row>
    <row r="848" spans="1:8" x14ac:dyDescent="0.25">
      <c r="A848" s="30" t="s">
        <v>2568</v>
      </c>
      <c r="B848" s="30" t="s">
        <v>2555</v>
      </c>
      <c r="C848" s="31">
        <v>570000</v>
      </c>
      <c r="D848" s="31">
        <v>0</v>
      </c>
      <c r="E848" s="31">
        <v>0</v>
      </c>
      <c r="F848" s="31">
        <v>40000</v>
      </c>
      <c r="G848" s="31">
        <v>40000</v>
      </c>
      <c r="H848" s="29"/>
    </row>
    <row r="849" spans="1:8" ht="24" x14ac:dyDescent="0.25">
      <c r="A849" s="23" t="s">
        <v>2556</v>
      </c>
      <c r="B849" s="23" t="s">
        <v>2</v>
      </c>
      <c r="C849" s="32">
        <v>670000</v>
      </c>
      <c r="D849" s="32">
        <v>0</v>
      </c>
      <c r="E849" s="32">
        <f>E847+E848</f>
        <v>0</v>
      </c>
      <c r="F849" s="32">
        <f>SUM(F847:F848)</f>
        <v>140000</v>
      </c>
      <c r="G849" s="32">
        <f>SUM(G847:G848)</f>
        <v>40000</v>
      </c>
      <c r="H849" s="29"/>
    </row>
    <row r="850" spans="1:8" x14ac:dyDescent="0.25">
      <c r="A850" s="23" t="s">
        <v>2</v>
      </c>
      <c r="B850" s="23" t="s">
        <v>2</v>
      </c>
      <c r="C850" s="23" t="s">
        <v>2</v>
      </c>
      <c r="D850" s="23" t="s">
        <v>2</v>
      </c>
      <c r="E850" s="23"/>
      <c r="F850" s="23" t="s">
        <v>2</v>
      </c>
      <c r="G850" s="23" t="s">
        <v>2</v>
      </c>
      <c r="H850" s="29"/>
    </row>
    <row r="851" spans="1:8" x14ac:dyDescent="0.25">
      <c r="A851" s="23" t="s">
        <v>2047</v>
      </c>
      <c r="B851" s="23" t="s">
        <v>2</v>
      </c>
      <c r="C851" s="32">
        <v>671072.47</v>
      </c>
      <c r="D851" s="32">
        <v>849.51</v>
      </c>
      <c r="E851" s="32">
        <f>E844+E849</f>
        <v>2924.68</v>
      </c>
      <c r="F851" s="32">
        <f>F844+F849</f>
        <v>140000</v>
      </c>
      <c r="G851" s="32">
        <f>G844+G849</f>
        <v>40000</v>
      </c>
      <c r="H851" s="29"/>
    </row>
    <row r="852" spans="1:8" x14ac:dyDescent="0.25">
      <c r="A852" s="1" t="s">
        <v>740</v>
      </c>
      <c r="B852" s="1" t="s">
        <v>2</v>
      </c>
    </row>
    <row r="853" spans="1:8" x14ac:dyDescent="0.25">
      <c r="A853" s="2" t="s">
        <v>749</v>
      </c>
      <c r="B853" s="2" t="s">
        <v>750</v>
      </c>
      <c r="C853" s="3">
        <v>26730</v>
      </c>
      <c r="D853" s="3">
        <v>13365</v>
      </c>
      <c r="E853" s="3">
        <v>22275</v>
      </c>
      <c r="F853" s="3">
        <v>30000</v>
      </c>
      <c r="G853" s="5">
        <v>30000</v>
      </c>
    </row>
    <row r="854" spans="1:8" ht="15" customHeight="1" x14ac:dyDescent="0.25">
      <c r="A854" s="2" t="s">
        <v>751</v>
      </c>
      <c r="B854" s="2" t="s">
        <v>752</v>
      </c>
      <c r="C854" s="3">
        <v>6254.73</v>
      </c>
      <c r="D854" s="3">
        <v>2443.1999999999998</v>
      </c>
      <c r="E854" s="3">
        <v>4484.3999999999996</v>
      </c>
      <c r="F854" s="3">
        <v>35000</v>
      </c>
      <c r="G854" s="5">
        <v>35000</v>
      </c>
    </row>
    <row r="855" spans="1:8" ht="15" customHeight="1" x14ac:dyDescent="0.25">
      <c r="A855" s="2" t="s">
        <v>753</v>
      </c>
      <c r="B855" s="2" t="s">
        <v>754</v>
      </c>
      <c r="C855" s="3">
        <v>680</v>
      </c>
      <c r="D855" s="3">
        <v>3370</v>
      </c>
      <c r="E855" s="3">
        <v>3578</v>
      </c>
      <c r="F855" s="3">
        <v>5000</v>
      </c>
      <c r="G855" s="5">
        <v>5000</v>
      </c>
    </row>
    <row r="856" spans="1:8" ht="15" customHeight="1" x14ac:dyDescent="0.25">
      <c r="A856" s="1" t="s">
        <v>755</v>
      </c>
      <c r="B856" s="1" t="s">
        <v>2</v>
      </c>
      <c r="C856" s="4">
        <v>33664.730000000003</v>
      </c>
      <c r="D856" s="4">
        <v>19178.2</v>
      </c>
      <c r="E856" s="4">
        <f>SUM(E853:E855)</f>
        <v>30337.4</v>
      </c>
      <c r="F856" s="6">
        <f>SUM(F853:F855)</f>
        <v>70000</v>
      </c>
      <c r="G856" s="6">
        <f>SUM(G853:G855)</f>
        <v>70000</v>
      </c>
    </row>
    <row r="857" spans="1:8" ht="15" customHeight="1" x14ac:dyDescent="0.25">
      <c r="A857" s="25" t="s">
        <v>2571</v>
      </c>
      <c r="B857" s="25"/>
      <c r="C857" s="33">
        <f t="shared" ref="C857:E857" si="17">C836+C851-C856</f>
        <v>1626745.3</v>
      </c>
      <c r="D857" s="33">
        <f t="shared" si="17"/>
        <v>1608416.61</v>
      </c>
      <c r="E857" s="33">
        <f t="shared" si="17"/>
        <v>1599332.58</v>
      </c>
      <c r="F857" s="33">
        <f>F836+F851-F856</f>
        <v>1696745.3</v>
      </c>
      <c r="G857" s="33">
        <f>G836+G851-G856</f>
        <v>1666745.3</v>
      </c>
      <c r="H857" s="25"/>
    </row>
    <row r="858" spans="1:8" x14ac:dyDescent="0.25">
      <c r="A858" s="1" t="s">
        <v>2</v>
      </c>
      <c r="B858" s="1" t="s">
        <v>2</v>
      </c>
      <c r="C858" s="1" t="s">
        <v>2</v>
      </c>
      <c r="D858" s="36"/>
      <c r="E858" s="36"/>
      <c r="F858" s="1" t="s">
        <v>2</v>
      </c>
      <c r="G858" s="1" t="s">
        <v>2</v>
      </c>
    </row>
    <row r="859" spans="1:8" x14ac:dyDescent="0.25">
      <c r="A859" s="27" t="s">
        <v>2572</v>
      </c>
      <c r="B859" s="27" t="s">
        <v>2</v>
      </c>
      <c r="C859" s="28">
        <v>2008236.58</v>
      </c>
      <c r="D859" s="28">
        <v>2856399.06</v>
      </c>
      <c r="E859" s="28">
        <v>2856399.06</v>
      </c>
      <c r="F859" s="28">
        <v>2856399.06</v>
      </c>
      <c r="G859" s="28">
        <f>F900</f>
        <v>3018467.0600000005</v>
      </c>
      <c r="H859" s="27"/>
    </row>
    <row r="860" spans="1:8" x14ac:dyDescent="0.25">
      <c r="A860" s="23" t="s">
        <v>756</v>
      </c>
      <c r="B860" s="23" t="s">
        <v>2</v>
      </c>
      <c r="C860" s="29"/>
      <c r="D860" s="29"/>
      <c r="E860" s="29"/>
      <c r="F860" s="29"/>
      <c r="G860" s="29"/>
      <c r="H860" s="37"/>
    </row>
    <row r="861" spans="1:8" x14ac:dyDescent="0.25">
      <c r="A861" s="23" t="s">
        <v>2026</v>
      </c>
      <c r="B861" s="23" t="s">
        <v>2</v>
      </c>
      <c r="C861" s="29"/>
      <c r="D861" s="29"/>
      <c r="E861" s="29"/>
      <c r="F861" s="29"/>
      <c r="G861" s="29"/>
      <c r="H861" s="37"/>
    </row>
    <row r="862" spans="1:8" x14ac:dyDescent="0.25">
      <c r="A862" s="23" t="s">
        <v>2027</v>
      </c>
      <c r="B862" s="23" t="s">
        <v>2</v>
      </c>
      <c r="C862" s="29"/>
      <c r="D862" s="29"/>
      <c r="E862" s="29"/>
      <c r="F862" s="29"/>
      <c r="G862" s="29"/>
      <c r="H862" s="37"/>
    </row>
    <row r="863" spans="1:8" ht="24" x14ac:dyDescent="0.25">
      <c r="A863" s="23" t="s">
        <v>2573</v>
      </c>
      <c r="B863" s="23" t="s">
        <v>2</v>
      </c>
      <c r="C863" s="29"/>
      <c r="D863" s="29"/>
      <c r="E863" s="29"/>
      <c r="F863" s="29"/>
      <c r="G863" s="29"/>
      <c r="H863" s="37"/>
    </row>
    <row r="864" spans="1:8" x14ac:dyDescent="0.25">
      <c r="A864" s="30" t="s">
        <v>2574</v>
      </c>
      <c r="B864" s="30" t="s">
        <v>2575</v>
      </c>
      <c r="C864" s="31">
        <v>67499.02</v>
      </c>
      <c r="D864" s="31">
        <v>90815.039999999994</v>
      </c>
      <c r="E864" s="31">
        <v>112790.42</v>
      </c>
      <c r="F864" s="31">
        <v>35000</v>
      </c>
      <c r="G864" s="31">
        <v>90000</v>
      </c>
      <c r="H864" s="37"/>
    </row>
    <row r="865" spans="1:8" x14ac:dyDescent="0.25">
      <c r="A865" s="30" t="s">
        <v>2576</v>
      </c>
      <c r="B865" s="30" t="s">
        <v>2577</v>
      </c>
      <c r="C865" s="31">
        <v>2620588.41</v>
      </c>
      <c r="D865" s="31">
        <v>1214787.96</v>
      </c>
      <c r="E865" s="31">
        <v>2552717.36</v>
      </c>
      <c r="F865" s="31">
        <v>2500000</v>
      </c>
      <c r="G865" s="31">
        <v>2500000</v>
      </c>
      <c r="H865" s="37"/>
    </row>
    <row r="866" spans="1:8" ht="24" x14ac:dyDescent="0.25">
      <c r="A866" s="23" t="s">
        <v>2578</v>
      </c>
      <c r="B866" s="23" t="s">
        <v>2</v>
      </c>
      <c r="C866" s="32">
        <v>2688087.43</v>
      </c>
      <c r="D866" s="32">
        <v>1305603</v>
      </c>
      <c r="E866" s="32">
        <f>E864+E865</f>
        <v>2665507.7799999998</v>
      </c>
      <c r="F866" s="32">
        <f>SUM(F864:F865)</f>
        <v>2535000</v>
      </c>
      <c r="G866" s="32">
        <f>SUM(G864:G865)</f>
        <v>2590000</v>
      </c>
      <c r="H866" s="37"/>
    </row>
    <row r="867" spans="1:8" x14ac:dyDescent="0.25">
      <c r="A867" s="23" t="s">
        <v>2</v>
      </c>
      <c r="B867" s="23" t="s">
        <v>2</v>
      </c>
      <c r="C867" s="23" t="s">
        <v>2</v>
      </c>
      <c r="D867" s="23" t="s">
        <v>2</v>
      </c>
      <c r="E867" s="23"/>
      <c r="F867" s="23" t="s">
        <v>2</v>
      </c>
      <c r="G867" s="23" t="s">
        <v>2</v>
      </c>
      <c r="H867" s="37"/>
    </row>
    <row r="868" spans="1:8" x14ac:dyDescent="0.25">
      <c r="A868" s="23" t="s">
        <v>2175</v>
      </c>
      <c r="B868" s="23" t="s">
        <v>2</v>
      </c>
      <c r="C868" s="29"/>
      <c r="D868" s="29"/>
      <c r="E868" s="29"/>
      <c r="F868" s="29"/>
      <c r="G868" s="29"/>
      <c r="H868" s="37"/>
    </row>
    <row r="869" spans="1:8" x14ac:dyDescent="0.25">
      <c r="A869" s="23" t="s">
        <v>2176</v>
      </c>
      <c r="B869" s="23" t="s">
        <v>2</v>
      </c>
      <c r="C869" s="29"/>
      <c r="D869" s="29"/>
      <c r="E869" s="29"/>
      <c r="F869" s="29"/>
      <c r="G869" s="29"/>
      <c r="H869" s="37"/>
    </row>
    <row r="870" spans="1:8" x14ac:dyDescent="0.25">
      <c r="A870" s="23" t="s">
        <v>2564</v>
      </c>
      <c r="B870" s="23" t="s">
        <v>2</v>
      </c>
      <c r="C870" s="29"/>
      <c r="D870" s="29"/>
      <c r="E870" s="29"/>
      <c r="F870" s="29"/>
      <c r="G870" s="29"/>
      <c r="H870" s="37"/>
    </row>
    <row r="871" spans="1:8" x14ac:dyDescent="0.25">
      <c r="A871" s="30" t="s">
        <v>2579</v>
      </c>
      <c r="B871" s="30" t="s">
        <v>2409</v>
      </c>
      <c r="C871" s="31">
        <v>0</v>
      </c>
      <c r="D871" s="31">
        <v>1150.08</v>
      </c>
      <c r="E871" s="31">
        <v>5441.15</v>
      </c>
      <c r="F871" s="31">
        <v>0</v>
      </c>
      <c r="G871" s="31">
        <v>5000</v>
      </c>
      <c r="H871" s="37"/>
    </row>
    <row r="872" spans="1:8" ht="24" x14ac:dyDescent="0.25">
      <c r="A872" s="23" t="s">
        <v>2580</v>
      </c>
      <c r="B872" s="23" t="s">
        <v>2</v>
      </c>
      <c r="C872" s="32">
        <v>0</v>
      </c>
      <c r="D872" s="32">
        <v>1150.08</v>
      </c>
      <c r="E872" s="32">
        <f>E871</f>
        <v>5441.15</v>
      </c>
      <c r="F872" s="32">
        <f>SUM(F871)</f>
        <v>0</v>
      </c>
      <c r="G872" s="32">
        <f>SUM(G871)</f>
        <v>5000</v>
      </c>
      <c r="H872" s="37"/>
    </row>
    <row r="873" spans="1:8" x14ac:dyDescent="0.25">
      <c r="A873" s="23" t="s">
        <v>2</v>
      </c>
      <c r="B873" s="23" t="s">
        <v>2</v>
      </c>
      <c r="C873" s="23" t="s">
        <v>2</v>
      </c>
      <c r="D873" s="23" t="s">
        <v>2</v>
      </c>
      <c r="E873" s="23"/>
      <c r="F873" s="23" t="s">
        <v>2</v>
      </c>
      <c r="G873" s="23" t="s">
        <v>2</v>
      </c>
      <c r="H873" s="37"/>
    </row>
    <row r="874" spans="1:8" ht="24" x14ac:dyDescent="0.25">
      <c r="A874" s="23" t="s">
        <v>2581</v>
      </c>
      <c r="B874" s="23" t="s">
        <v>2</v>
      </c>
      <c r="C874" s="29"/>
      <c r="D874" s="29"/>
      <c r="E874" s="29"/>
      <c r="F874" s="29"/>
      <c r="G874" s="29"/>
      <c r="H874" s="37"/>
    </row>
    <row r="875" spans="1:8" x14ac:dyDescent="0.25">
      <c r="A875" s="23" t="s">
        <v>2582</v>
      </c>
      <c r="B875" s="23" t="s">
        <v>2</v>
      </c>
      <c r="C875" s="29"/>
      <c r="D875" s="29"/>
      <c r="E875" s="29"/>
      <c r="F875" s="29"/>
      <c r="G875" s="29"/>
      <c r="H875" s="37"/>
    </row>
    <row r="876" spans="1:8" x14ac:dyDescent="0.25">
      <c r="A876" s="30" t="s">
        <v>2583</v>
      </c>
      <c r="B876" s="30" t="s">
        <v>2584</v>
      </c>
      <c r="C876" s="31">
        <v>0</v>
      </c>
      <c r="D876" s="31">
        <v>0</v>
      </c>
      <c r="E876" s="31">
        <v>0</v>
      </c>
      <c r="F876" s="31">
        <v>0</v>
      </c>
      <c r="G876" s="31">
        <v>0</v>
      </c>
      <c r="H876" s="37"/>
    </row>
    <row r="877" spans="1:8" ht="24" x14ac:dyDescent="0.25">
      <c r="A877" s="23" t="s">
        <v>2585</v>
      </c>
      <c r="B877" s="23" t="s">
        <v>2</v>
      </c>
      <c r="C877" s="32">
        <v>0</v>
      </c>
      <c r="D877" s="32">
        <v>0</v>
      </c>
      <c r="E877" s="32">
        <f>-E876</f>
        <v>0</v>
      </c>
      <c r="F877" s="32">
        <f>SUM(F876)</f>
        <v>0</v>
      </c>
      <c r="G877" s="32">
        <f>SUM(G876)</f>
        <v>0</v>
      </c>
      <c r="H877" s="37"/>
    </row>
    <row r="878" spans="1:8" x14ac:dyDescent="0.25">
      <c r="A878" s="23" t="s">
        <v>2</v>
      </c>
      <c r="B878" s="23" t="s">
        <v>2</v>
      </c>
      <c r="C878" s="23" t="s">
        <v>2</v>
      </c>
      <c r="D878" s="23" t="s">
        <v>2</v>
      </c>
      <c r="E878" s="23"/>
      <c r="F878" s="23" t="s">
        <v>2</v>
      </c>
      <c r="G878" s="23" t="s">
        <v>2</v>
      </c>
      <c r="H878" s="37"/>
    </row>
    <row r="879" spans="1:8" ht="24" x14ac:dyDescent="0.25">
      <c r="A879" s="23" t="s">
        <v>2180</v>
      </c>
      <c r="B879" s="23" t="s">
        <v>2</v>
      </c>
      <c r="C879" s="32">
        <v>0</v>
      </c>
      <c r="D879" s="32">
        <v>1150.08</v>
      </c>
      <c r="E879" s="32">
        <f>E872+E877</f>
        <v>5441.15</v>
      </c>
      <c r="F879" s="32">
        <f>F872+F877</f>
        <v>0</v>
      </c>
      <c r="G879" s="32">
        <f>G872+G877</f>
        <v>5000</v>
      </c>
      <c r="H879" s="37"/>
    </row>
    <row r="880" spans="1:8" x14ac:dyDescent="0.25">
      <c r="A880" s="23" t="s">
        <v>2</v>
      </c>
      <c r="B880" s="23" t="s">
        <v>2</v>
      </c>
      <c r="C880" s="23" t="s">
        <v>2</v>
      </c>
      <c r="D880" s="23" t="s">
        <v>2</v>
      </c>
      <c r="E880" s="23"/>
      <c r="F880" s="23" t="s">
        <v>2</v>
      </c>
      <c r="G880" s="23" t="s">
        <v>2</v>
      </c>
      <c r="H880" s="37"/>
    </row>
    <row r="881" spans="1:8" x14ac:dyDescent="0.25">
      <c r="A881" s="23" t="s">
        <v>2</v>
      </c>
      <c r="B881" s="23" t="s">
        <v>2</v>
      </c>
      <c r="C881" s="23" t="s">
        <v>2</v>
      </c>
      <c r="D881" s="23" t="s">
        <v>2</v>
      </c>
      <c r="E881" s="23"/>
      <c r="F881" s="23" t="s">
        <v>2</v>
      </c>
      <c r="G881" s="23" t="s">
        <v>2</v>
      </c>
      <c r="H881" s="37"/>
    </row>
    <row r="882" spans="1:8" x14ac:dyDescent="0.25">
      <c r="A882" s="30" t="s">
        <v>2586</v>
      </c>
      <c r="B882" s="30" t="s">
        <v>2587</v>
      </c>
      <c r="C882" s="31">
        <v>0</v>
      </c>
      <c r="D882" s="31">
        <v>0</v>
      </c>
      <c r="E882" s="31">
        <v>0</v>
      </c>
      <c r="F882" s="31">
        <v>0</v>
      </c>
      <c r="G882" s="31">
        <v>0</v>
      </c>
      <c r="H882" s="37"/>
    </row>
    <row r="883" spans="1:8" x14ac:dyDescent="0.25">
      <c r="A883" s="30" t="s">
        <v>2588</v>
      </c>
      <c r="B883" s="30" t="s">
        <v>2589</v>
      </c>
      <c r="C883" s="31">
        <v>0</v>
      </c>
      <c r="D883" s="31">
        <v>0</v>
      </c>
      <c r="E883" s="31">
        <v>0</v>
      </c>
      <c r="F883" s="31">
        <v>0</v>
      </c>
      <c r="G883" s="31">
        <v>0</v>
      </c>
      <c r="H883" s="37"/>
    </row>
    <row r="884" spans="1:8" x14ac:dyDescent="0.25">
      <c r="A884" s="23" t="s">
        <v>2047</v>
      </c>
      <c r="B884" s="23" t="s">
        <v>2</v>
      </c>
      <c r="C884" s="32">
        <v>2688087.43</v>
      </c>
      <c r="D884" s="32">
        <v>1306753.08</v>
      </c>
      <c r="E884" s="32">
        <f>E866+E879</f>
        <v>2670948.9299999997</v>
      </c>
      <c r="F884" s="32">
        <f>F866+F879+SUM(F882:F883)</f>
        <v>2535000</v>
      </c>
      <c r="G884" s="32">
        <f>G866+G879+SUM(G882:G883)</f>
        <v>2595000</v>
      </c>
      <c r="H884" s="37"/>
    </row>
    <row r="885" spans="1:8" x14ac:dyDescent="0.25">
      <c r="A885" s="1" t="s">
        <v>740</v>
      </c>
      <c r="B885" s="1" t="s">
        <v>2</v>
      </c>
      <c r="C885" s="1" t="s">
        <v>2</v>
      </c>
      <c r="D885" s="1" t="s">
        <v>2</v>
      </c>
      <c r="E885" s="1"/>
      <c r="F885" s="1" t="s">
        <v>2</v>
      </c>
      <c r="G885" s="1" t="s">
        <v>2</v>
      </c>
    </row>
    <row r="886" spans="1:8" ht="15" customHeight="1" x14ac:dyDescent="0.25">
      <c r="A886" s="2" t="s">
        <v>757</v>
      </c>
      <c r="B886" s="2" t="s">
        <v>742</v>
      </c>
      <c r="C886" s="3">
        <v>0</v>
      </c>
      <c r="D886" s="3">
        <v>0</v>
      </c>
      <c r="E886" s="3">
        <v>0</v>
      </c>
      <c r="F886" s="3">
        <v>0</v>
      </c>
      <c r="G886" s="59">
        <v>0</v>
      </c>
    </row>
    <row r="887" spans="1:8" ht="15" customHeight="1" x14ac:dyDescent="0.25">
      <c r="A887" s="2" t="s">
        <v>758</v>
      </c>
      <c r="B887" s="2" t="s">
        <v>759</v>
      </c>
      <c r="C887" s="3">
        <v>100000</v>
      </c>
      <c r="D887" s="3">
        <v>0</v>
      </c>
      <c r="E887" s="3">
        <v>0</v>
      </c>
      <c r="F887" s="3">
        <v>100000</v>
      </c>
      <c r="G887" s="59">
        <v>0</v>
      </c>
    </row>
    <row r="888" spans="1:8" ht="15" customHeight="1" x14ac:dyDescent="0.25">
      <c r="A888" s="2" t="s">
        <v>760</v>
      </c>
      <c r="B888" s="2" t="s">
        <v>761</v>
      </c>
      <c r="C888" s="3">
        <v>0</v>
      </c>
      <c r="D888" s="3">
        <v>0</v>
      </c>
      <c r="E888" s="3">
        <v>0</v>
      </c>
      <c r="F888" s="3">
        <v>20000</v>
      </c>
      <c r="G888" s="59">
        <v>0</v>
      </c>
    </row>
    <row r="889" spans="1:8" ht="15" customHeight="1" x14ac:dyDescent="0.25">
      <c r="A889" s="2" t="s">
        <v>762</v>
      </c>
      <c r="B889" s="2" t="s">
        <v>763</v>
      </c>
      <c r="C889" s="3">
        <v>770000</v>
      </c>
      <c r="D889" s="3">
        <v>187000</v>
      </c>
      <c r="E889" s="3">
        <v>262000</v>
      </c>
      <c r="F889" s="3">
        <v>1275000</v>
      </c>
      <c r="G889" s="59">
        <v>0</v>
      </c>
    </row>
    <row r="890" spans="1:8" ht="15" customHeight="1" x14ac:dyDescent="0.25">
      <c r="A890" s="2" t="s">
        <v>764</v>
      </c>
      <c r="B890" s="2" t="s">
        <v>765</v>
      </c>
      <c r="C890" s="3">
        <v>45312.5</v>
      </c>
      <c r="D890" s="3">
        <v>0</v>
      </c>
      <c r="E890" s="3">
        <v>0</v>
      </c>
      <c r="F890" s="3">
        <v>49425</v>
      </c>
      <c r="G890" s="59">
        <v>0</v>
      </c>
    </row>
    <row r="891" spans="1:8" ht="15" customHeight="1" x14ac:dyDescent="0.25">
      <c r="A891" s="2" t="s">
        <v>766</v>
      </c>
      <c r="B891" s="2" t="s">
        <v>767</v>
      </c>
      <c r="C891" s="3">
        <v>77066.22</v>
      </c>
      <c r="D891" s="3">
        <v>0</v>
      </c>
      <c r="E891" s="3">
        <v>0</v>
      </c>
      <c r="F891" s="3">
        <v>0</v>
      </c>
      <c r="G891" s="59">
        <v>0</v>
      </c>
    </row>
    <row r="892" spans="1:8" x14ac:dyDescent="0.25">
      <c r="A892" s="2" t="s">
        <v>768</v>
      </c>
      <c r="B892" s="2" t="s">
        <v>769</v>
      </c>
      <c r="C892" s="3">
        <v>190492.79999999999</v>
      </c>
      <c r="D892" s="3">
        <v>0</v>
      </c>
      <c r="E892" s="3">
        <v>0</v>
      </c>
      <c r="F892" s="3">
        <v>201732</v>
      </c>
      <c r="G892" s="59">
        <v>0</v>
      </c>
    </row>
    <row r="893" spans="1:8" x14ac:dyDescent="0.25">
      <c r="A893" s="2" t="s">
        <v>770</v>
      </c>
      <c r="B893" s="2" t="s">
        <v>771</v>
      </c>
      <c r="C893" s="3">
        <v>79400</v>
      </c>
      <c r="D893" s="3">
        <v>0</v>
      </c>
      <c r="E893" s="3">
        <v>18445.66</v>
      </c>
      <c r="F893" s="3">
        <v>81800</v>
      </c>
      <c r="G893" s="59">
        <v>0</v>
      </c>
    </row>
    <row r="894" spans="1:8" x14ac:dyDescent="0.25">
      <c r="A894" s="2" t="s">
        <v>772</v>
      </c>
      <c r="B894" s="2" t="s">
        <v>773</v>
      </c>
      <c r="C894" s="3">
        <v>57369</v>
      </c>
      <c r="D894" s="3">
        <v>0</v>
      </c>
      <c r="E894" s="3">
        <v>28097.26</v>
      </c>
      <c r="F894" s="3">
        <v>56195</v>
      </c>
      <c r="G894" s="59">
        <v>0</v>
      </c>
    </row>
    <row r="895" spans="1:8" x14ac:dyDescent="0.25">
      <c r="A895" s="2" t="s">
        <v>774</v>
      </c>
      <c r="B895" s="2" t="s">
        <v>775</v>
      </c>
      <c r="C895" s="3">
        <v>0</v>
      </c>
      <c r="D895" s="3">
        <v>0</v>
      </c>
      <c r="E895" s="3">
        <v>0</v>
      </c>
      <c r="F895" s="3">
        <v>23000</v>
      </c>
      <c r="G895" s="59">
        <v>0</v>
      </c>
    </row>
    <row r="896" spans="1:8" x14ac:dyDescent="0.25">
      <c r="A896" s="2" t="s">
        <v>776</v>
      </c>
      <c r="B896" s="2" t="s">
        <v>777</v>
      </c>
      <c r="C896" s="3">
        <v>20284.43</v>
      </c>
      <c r="D896" s="3">
        <v>0</v>
      </c>
      <c r="E896" s="3">
        <v>14352.87</v>
      </c>
      <c r="F896" s="3">
        <v>15780</v>
      </c>
      <c r="G896" s="59">
        <v>0</v>
      </c>
    </row>
    <row r="897" spans="1:8" x14ac:dyDescent="0.25">
      <c r="A897" s="2" t="s">
        <v>778</v>
      </c>
      <c r="B897" s="2" t="s">
        <v>779</v>
      </c>
      <c r="C897" s="3">
        <v>500000</v>
      </c>
      <c r="D897" s="3">
        <v>0</v>
      </c>
      <c r="E897" s="3">
        <v>0</v>
      </c>
      <c r="F897" s="3">
        <v>500000</v>
      </c>
      <c r="G897" s="59">
        <v>0</v>
      </c>
    </row>
    <row r="898" spans="1:8" ht="15" customHeight="1" x14ac:dyDescent="0.25">
      <c r="A898" s="2" t="s">
        <v>780</v>
      </c>
      <c r="B898" s="2" t="s">
        <v>781</v>
      </c>
      <c r="C898" s="3">
        <v>0</v>
      </c>
      <c r="D898" s="3">
        <v>0</v>
      </c>
      <c r="E898" s="3">
        <v>0</v>
      </c>
      <c r="F898" s="3">
        <v>50000</v>
      </c>
      <c r="G898" s="59">
        <v>0</v>
      </c>
    </row>
    <row r="899" spans="1:8" ht="15" customHeight="1" x14ac:dyDescent="0.25">
      <c r="A899" s="1" t="s">
        <v>782</v>
      </c>
      <c r="B899" s="1" t="s">
        <v>2</v>
      </c>
      <c r="C899" s="4">
        <v>1839924.95</v>
      </c>
      <c r="D899" s="4">
        <v>187000</v>
      </c>
      <c r="E899" s="4">
        <f>SUM(E886:E898)</f>
        <v>322895.78999999998</v>
      </c>
      <c r="F899" s="4">
        <v>2372932</v>
      </c>
      <c r="G899" s="6">
        <v>0</v>
      </c>
    </row>
    <row r="900" spans="1:8" ht="15" customHeight="1" x14ac:dyDescent="0.25">
      <c r="A900" s="25" t="s">
        <v>2590</v>
      </c>
      <c r="B900" s="25"/>
      <c r="C900" s="33">
        <f>C859+C884-C899</f>
        <v>2856399.0599999996</v>
      </c>
      <c r="D900" s="33">
        <f t="shared" ref="D900:G900" si="18">D859+D884-D899</f>
        <v>3976152.14</v>
      </c>
      <c r="E900" s="33">
        <f t="shared" si="18"/>
        <v>5204452.2</v>
      </c>
      <c r="F900" s="33">
        <f t="shared" si="18"/>
        <v>3018467.0600000005</v>
      </c>
      <c r="G900" s="33">
        <f t="shared" si="18"/>
        <v>5613467.0600000005</v>
      </c>
      <c r="H900" s="38"/>
    </row>
    <row r="901" spans="1:8" x14ac:dyDescent="0.25">
      <c r="A901" s="1" t="s">
        <v>2</v>
      </c>
      <c r="B901" s="1" t="s">
        <v>2</v>
      </c>
      <c r="C901" s="1" t="s">
        <v>2</v>
      </c>
      <c r="D901" s="1" t="s">
        <v>2</v>
      </c>
      <c r="E901" s="1"/>
      <c r="F901" s="1" t="s">
        <v>2</v>
      </c>
      <c r="G901" s="1" t="s">
        <v>2</v>
      </c>
    </row>
    <row r="902" spans="1:8" ht="15" customHeight="1" x14ac:dyDescent="0.25">
      <c r="A902" s="27" t="s">
        <v>2591</v>
      </c>
      <c r="B902" s="27" t="s">
        <v>2</v>
      </c>
      <c r="C902" s="28">
        <v>29464.76</v>
      </c>
      <c r="D902" s="28">
        <v>28172.7</v>
      </c>
      <c r="E902" s="28">
        <v>28172.7</v>
      </c>
      <c r="F902" s="28">
        <v>28172.7</v>
      </c>
      <c r="G902" s="28">
        <f>F930</f>
        <v>17250.199999999997</v>
      </c>
      <c r="H902" s="27"/>
    </row>
    <row r="903" spans="1:8" ht="24" x14ac:dyDescent="0.25">
      <c r="A903" s="23" t="s">
        <v>783</v>
      </c>
      <c r="B903" s="23" t="s">
        <v>2</v>
      </c>
      <c r="C903" s="29"/>
      <c r="D903" s="29"/>
      <c r="E903" s="29"/>
      <c r="F903" s="29"/>
      <c r="G903" s="29"/>
      <c r="H903" s="29"/>
    </row>
    <row r="904" spans="1:8" x14ac:dyDescent="0.25">
      <c r="A904" s="23" t="s">
        <v>2026</v>
      </c>
      <c r="B904" s="23"/>
      <c r="C904" s="29"/>
      <c r="D904" s="29"/>
      <c r="E904" s="29"/>
      <c r="F904" s="29"/>
      <c r="G904" s="29"/>
      <c r="H904" s="29"/>
    </row>
    <row r="905" spans="1:8" x14ac:dyDescent="0.25">
      <c r="A905" s="30" t="s">
        <v>2592</v>
      </c>
      <c r="B905" s="30" t="s">
        <v>2593</v>
      </c>
      <c r="C905" s="31">
        <v>20745.09</v>
      </c>
      <c r="D905" s="31">
        <v>19090</v>
      </c>
      <c r="E905" s="31">
        <v>28405</v>
      </c>
      <c r="F905" s="31">
        <v>2500</v>
      </c>
      <c r="G905" s="31">
        <v>20000</v>
      </c>
      <c r="H905" s="29"/>
    </row>
    <row r="906" spans="1:8" x14ac:dyDescent="0.25">
      <c r="A906" s="30" t="s">
        <v>2594</v>
      </c>
      <c r="B906" s="30" t="s">
        <v>2595</v>
      </c>
      <c r="C906" s="31">
        <v>0</v>
      </c>
      <c r="D906" s="31">
        <v>0</v>
      </c>
      <c r="E906" s="31">
        <v>0</v>
      </c>
      <c r="F906" s="31">
        <v>0</v>
      </c>
      <c r="G906" s="31">
        <v>0</v>
      </c>
      <c r="H906" s="29"/>
    </row>
    <row r="907" spans="1:8" x14ac:dyDescent="0.25">
      <c r="A907" s="30" t="s">
        <v>2596</v>
      </c>
      <c r="B907" s="30" t="s">
        <v>2597</v>
      </c>
      <c r="C907" s="31">
        <v>0</v>
      </c>
      <c r="D907" s="31">
        <v>0</v>
      </c>
      <c r="E907" s="31">
        <v>0</v>
      </c>
      <c r="F907" s="31">
        <v>0</v>
      </c>
      <c r="G907" s="31">
        <v>0</v>
      </c>
      <c r="H907" s="29"/>
    </row>
    <row r="908" spans="1:8" x14ac:dyDescent="0.25">
      <c r="A908" s="30" t="s">
        <v>2598</v>
      </c>
      <c r="B908" s="30" t="s">
        <v>2599</v>
      </c>
      <c r="C908" s="31">
        <v>0</v>
      </c>
      <c r="D908" s="31">
        <v>0</v>
      </c>
      <c r="E908" s="31">
        <v>0</v>
      </c>
      <c r="F908" s="31">
        <v>0</v>
      </c>
      <c r="G908" s="31">
        <v>0</v>
      </c>
      <c r="H908" s="29"/>
    </row>
    <row r="909" spans="1:8" x14ac:dyDescent="0.25">
      <c r="A909" s="30" t="s">
        <v>2600</v>
      </c>
      <c r="B909" s="30" t="s">
        <v>2601</v>
      </c>
      <c r="C909" s="31">
        <v>0</v>
      </c>
      <c r="D909" s="31">
        <v>0</v>
      </c>
      <c r="E909" s="31">
        <v>0</v>
      </c>
      <c r="F909" s="31">
        <v>23000</v>
      </c>
      <c r="G909" s="66">
        <v>0</v>
      </c>
      <c r="H909" s="29"/>
    </row>
    <row r="910" spans="1:8" x14ac:dyDescent="0.25">
      <c r="A910" s="30" t="s">
        <v>2602</v>
      </c>
      <c r="B910" s="30" t="s">
        <v>2603</v>
      </c>
      <c r="C910" s="31">
        <v>0</v>
      </c>
      <c r="D910" s="31">
        <v>0</v>
      </c>
      <c r="E910" s="31">
        <v>0</v>
      </c>
      <c r="F910" s="31">
        <v>0</v>
      </c>
      <c r="G910" s="31">
        <v>0</v>
      </c>
      <c r="H910" s="29"/>
    </row>
    <row r="911" spans="1:8" x14ac:dyDescent="0.25">
      <c r="A911" s="30" t="s">
        <v>2604</v>
      </c>
      <c r="B911" s="30" t="s">
        <v>2539</v>
      </c>
      <c r="C911" s="31">
        <v>9517.41</v>
      </c>
      <c r="D911" s="31">
        <v>5400</v>
      </c>
      <c r="E911" s="31">
        <v>8450</v>
      </c>
      <c r="F911" s="31">
        <v>10000</v>
      </c>
      <c r="G911" s="31">
        <v>10000</v>
      </c>
      <c r="H911" s="29"/>
    </row>
    <row r="912" spans="1:8" ht="24" x14ac:dyDescent="0.25">
      <c r="A912" s="23" t="s">
        <v>804</v>
      </c>
      <c r="B912" s="23" t="s">
        <v>2</v>
      </c>
      <c r="C912" s="32">
        <v>30262.5</v>
      </c>
      <c r="D912" s="32">
        <v>24490</v>
      </c>
      <c r="E912" s="32">
        <f>SUM(E905:E911)</f>
        <v>36855</v>
      </c>
      <c r="F912" s="32">
        <f>SUM(F905:F911)</f>
        <v>35500</v>
      </c>
      <c r="G912" s="32">
        <f>SUM(G905:G911)</f>
        <v>30000</v>
      </c>
      <c r="H912" s="29"/>
    </row>
    <row r="913" spans="1:7" ht="15" customHeight="1" x14ac:dyDescent="0.25">
      <c r="A913" s="1" t="s">
        <v>740</v>
      </c>
      <c r="B913" s="1" t="s">
        <v>2</v>
      </c>
    </row>
    <row r="914" spans="1:7" ht="15" customHeight="1" x14ac:dyDescent="0.25">
      <c r="A914" s="2" t="s">
        <v>784</v>
      </c>
      <c r="B914" s="2" t="s">
        <v>108</v>
      </c>
      <c r="C914" s="3">
        <v>3850.44</v>
      </c>
      <c r="D914" s="3">
        <v>2148.44</v>
      </c>
      <c r="E914" s="3">
        <v>4931.84</v>
      </c>
      <c r="F914" s="3">
        <v>1007.63</v>
      </c>
      <c r="G914" s="5">
        <f>F914*1.055</f>
        <v>1063.0496499999999</v>
      </c>
    </row>
    <row r="915" spans="1:7" ht="15" customHeight="1" x14ac:dyDescent="0.25">
      <c r="A915" s="2" t="s">
        <v>785</v>
      </c>
      <c r="B915" s="2" t="s">
        <v>786</v>
      </c>
      <c r="C915" s="3">
        <v>0</v>
      </c>
      <c r="D915" s="3">
        <v>0</v>
      </c>
      <c r="E915" s="3">
        <v>202.34</v>
      </c>
      <c r="F915" s="3">
        <v>0</v>
      </c>
      <c r="G915" s="5">
        <f t="shared" ref="G915:G924" si="19">F915*1.055</f>
        <v>0</v>
      </c>
    </row>
    <row r="916" spans="1:7" ht="15" customHeight="1" x14ac:dyDescent="0.25">
      <c r="A916" s="2" t="s">
        <v>787</v>
      </c>
      <c r="B916" s="2" t="s">
        <v>29</v>
      </c>
      <c r="C916" s="3">
        <v>713.36</v>
      </c>
      <c r="D916" s="3">
        <v>452.07</v>
      </c>
      <c r="E916" s="3">
        <v>1230.05</v>
      </c>
      <c r="F916" s="3">
        <v>197.1</v>
      </c>
      <c r="G916" s="5">
        <f t="shared" si="19"/>
        <v>207.94049999999999</v>
      </c>
    </row>
    <row r="917" spans="1:7" ht="15" customHeight="1" x14ac:dyDescent="0.25">
      <c r="A917" s="2" t="s">
        <v>788</v>
      </c>
      <c r="B917" s="2" t="s">
        <v>31</v>
      </c>
      <c r="C917" s="3">
        <v>82.78</v>
      </c>
      <c r="D917" s="3">
        <v>30.31</v>
      </c>
      <c r="E917" s="3">
        <v>80.430000000000007</v>
      </c>
      <c r="F917" s="3">
        <v>19.73</v>
      </c>
      <c r="G917" s="5">
        <f t="shared" si="19"/>
        <v>20.815149999999999</v>
      </c>
    </row>
    <row r="918" spans="1:7" ht="15" customHeight="1" x14ac:dyDescent="0.25">
      <c r="A918" s="2" t="s">
        <v>789</v>
      </c>
      <c r="B918" s="2" t="s">
        <v>790</v>
      </c>
      <c r="C918" s="3">
        <v>518.70000000000005</v>
      </c>
      <c r="D918" s="3">
        <v>260</v>
      </c>
      <c r="E918" s="3">
        <v>600.39</v>
      </c>
      <c r="F918" s="3">
        <v>119.48</v>
      </c>
      <c r="G918" s="5">
        <f t="shared" si="19"/>
        <v>126.0514</v>
      </c>
    </row>
    <row r="919" spans="1:7" ht="15" customHeight="1" x14ac:dyDescent="0.25">
      <c r="A919" s="2" t="s">
        <v>791</v>
      </c>
      <c r="B919" s="2" t="s">
        <v>792</v>
      </c>
      <c r="C919" s="3">
        <v>292.37</v>
      </c>
      <c r="D919" s="3">
        <v>163.52000000000001</v>
      </c>
      <c r="E919" s="3">
        <v>374</v>
      </c>
      <c r="F919" s="3">
        <v>77.08</v>
      </c>
      <c r="G919" s="5">
        <f t="shared" si="19"/>
        <v>81.319399999999987</v>
      </c>
    </row>
    <row r="920" spans="1:7" ht="15" customHeight="1" x14ac:dyDescent="0.25">
      <c r="A920" s="2" t="s">
        <v>793</v>
      </c>
      <c r="B920" s="2" t="s">
        <v>543</v>
      </c>
      <c r="C920" s="3">
        <v>0</v>
      </c>
      <c r="D920" s="3">
        <v>0</v>
      </c>
      <c r="E920" s="3">
        <v>0</v>
      </c>
      <c r="F920" s="3">
        <v>0</v>
      </c>
      <c r="G920" s="5">
        <v>0</v>
      </c>
    </row>
    <row r="921" spans="1:7" ht="15" customHeight="1" x14ac:dyDescent="0.25">
      <c r="A921" s="2" t="s">
        <v>794</v>
      </c>
      <c r="B921" s="2" t="s">
        <v>13</v>
      </c>
      <c r="C921" s="3">
        <v>5.58</v>
      </c>
      <c r="D921" s="3">
        <v>4.7300000000000004</v>
      </c>
      <c r="E921" s="3">
        <v>11.23</v>
      </c>
      <c r="F921" s="3">
        <v>1.48</v>
      </c>
      <c r="G921" s="5">
        <f t="shared" si="19"/>
        <v>1.5613999999999999</v>
      </c>
    </row>
    <row r="922" spans="1:7" ht="15" customHeight="1" x14ac:dyDescent="0.25">
      <c r="A922" s="2" t="s">
        <v>795</v>
      </c>
      <c r="B922" s="2" t="s">
        <v>577</v>
      </c>
      <c r="C922" s="3">
        <v>0</v>
      </c>
      <c r="D922" s="3">
        <v>0</v>
      </c>
      <c r="E922" s="3">
        <v>3.82</v>
      </c>
      <c r="F922" s="3">
        <v>0</v>
      </c>
      <c r="G922" s="5">
        <f t="shared" si="19"/>
        <v>0</v>
      </c>
    </row>
    <row r="923" spans="1:7" ht="15" customHeight="1" x14ac:dyDescent="0.25">
      <c r="A923" s="2" t="s">
        <v>796</v>
      </c>
      <c r="B923" s="2" t="s">
        <v>579</v>
      </c>
      <c r="C923" s="3">
        <v>0</v>
      </c>
      <c r="D923" s="3">
        <v>0</v>
      </c>
      <c r="E923" s="3">
        <v>25.1</v>
      </c>
      <c r="F923" s="3">
        <v>0</v>
      </c>
      <c r="G923" s="5">
        <f t="shared" si="19"/>
        <v>0</v>
      </c>
    </row>
    <row r="924" spans="1:7" ht="15" customHeight="1" x14ac:dyDescent="0.25">
      <c r="A924" s="2" t="s">
        <v>797</v>
      </c>
      <c r="B924" s="2" t="s">
        <v>581</v>
      </c>
      <c r="C924" s="3">
        <v>0</v>
      </c>
      <c r="D924" s="3">
        <v>0</v>
      </c>
      <c r="E924" s="3">
        <v>15.02</v>
      </c>
      <c r="F924" s="3">
        <v>0</v>
      </c>
      <c r="G924" s="5">
        <f t="shared" si="19"/>
        <v>0</v>
      </c>
    </row>
    <row r="925" spans="1:7" ht="15" customHeight="1" x14ac:dyDescent="0.25">
      <c r="A925" s="2" t="s">
        <v>798</v>
      </c>
      <c r="B925" s="2" t="s">
        <v>799</v>
      </c>
      <c r="C925" s="3">
        <v>9272.4699999999993</v>
      </c>
      <c r="D925" s="3">
        <v>4141</v>
      </c>
      <c r="E925" s="3">
        <v>9981.26</v>
      </c>
      <c r="F925" s="3">
        <v>20000</v>
      </c>
      <c r="G925" s="5">
        <v>20000</v>
      </c>
    </row>
    <row r="926" spans="1:7" ht="15" customHeight="1" x14ac:dyDescent="0.25">
      <c r="A926" s="2" t="s">
        <v>800</v>
      </c>
      <c r="B926" s="2" t="s">
        <v>64</v>
      </c>
      <c r="C926" s="3">
        <v>12871.45</v>
      </c>
      <c r="D926" s="3">
        <v>5226.5</v>
      </c>
      <c r="E926" s="3">
        <v>9553.36</v>
      </c>
      <c r="F926" s="3">
        <v>15000</v>
      </c>
      <c r="G926" s="5">
        <v>15000</v>
      </c>
    </row>
    <row r="927" spans="1:7" ht="15" customHeight="1" x14ac:dyDescent="0.25">
      <c r="A927" s="2" t="s">
        <v>801</v>
      </c>
      <c r="B927" s="2" t="s">
        <v>802</v>
      </c>
      <c r="C927" s="3">
        <v>0</v>
      </c>
      <c r="D927" s="3">
        <v>0</v>
      </c>
      <c r="E927" s="3">
        <v>0</v>
      </c>
      <c r="F927" s="3">
        <v>0</v>
      </c>
      <c r="G927" s="5">
        <v>0</v>
      </c>
    </row>
    <row r="928" spans="1:7" ht="15" customHeight="1" x14ac:dyDescent="0.25">
      <c r="A928" s="2" t="s">
        <v>803</v>
      </c>
      <c r="B928" s="2" t="s">
        <v>700</v>
      </c>
      <c r="C928" s="3">
        <v>3947.41</v>
      </c>
      <c r="D928" s="3">
        <v>1400</v>
      </c>
      <c r="E928" s="3">
        <v>3614</v>
      </c>
      <c r="F928" s="3">
        <v>10000</v>
      </c>
      <c r="G928" s="5">
        <v>10000</v>
      </c>
    </row>
    <row r="929" spans="1:8" ht="15" customHeight="1" x14ac:dyDescent="0.25">
      <c r="A929" s="1" t="s">
        <v>804</v>
      </c>
      <c r="B929" s="1" t="s">
        <v>2</v>
      </c>
      <c r="C929" s="4">
        <v>31554.560000000001</v>
      </c>
      <c r="D929" s="4">
        <v>13826.57</v>
      </c>
      <c r="E929" s="4">
        <f>SUM(E914:E928)</f>
        <v>30622.840000000004</v>
      </c>
      <c r="F929" s="6">
        <f>SUM(F914:F928)</f>
        <v>46422.5</v>
      </c>
      <c r="G929" s="6">
        <f>SUM(G914:G928)</f>
        <v>46500.737500000003</v>
      </c>
    </row>
    <row r="930" spans="1:8" x14ac:dyDescent="0.25">
      <c r="A930" s="25" t="s">
        <v>2605</v>
      </c>
      <c r="B930" s="25"/>
      <c r="C930" s="33">
        <f>C902+C912-C929</f>
        <v>28172.699999999993</v>
      </c>
      <c r="D930" s="33">
        <f t="shared" ref="D930:F930" si="20">D902+D912-D929</f>
        <v>38836.129999999997</v>
      </c>
      <c r="E930" s="33">
        <f t="shared" si="20"/>
        <v>34404.859999999993</v>
      </c>
      <c r="F930" s="33">
        <f t="shared" si="20"/>
        <v>17250.199999999997</v>
      </c>
      <c r="G930" s="33">
        <f>G902+G912-G929</f>
        <v>749.46249999999418</v>
      </c>
      <c r="H930" s="25"/>
    </row>
    <row r="931" spans="1:8" x14ac:dyDescent="0.25">
      <c r="A931" s="1" t="s">
        <v>2</v>
      </c>
      <c r="B931" s="1" t="s">
        <v>2</v>
      </c>
      <c r="C931" s="36"/>
      <c r="D931" s="1" t="s">
        <v>2</v>
      </c>
      <c r="E931" s="1"/>
      <c r="F931" s="1" t="s">
        <v>2</v>
      </c>
      <c r="G931" s="1" t="s">
        <v>2</v>
      </c>
    </row>
    <row r="932" spans="1:8" ht="15" customHeight="1" x14ac:dyDescent="0.25">
      <c r="A932" s="27" t="s">
        <v>2606</v>
      </c>
      <c r="B932" s="27"/>
      <c r="C932" s="28">
        <v>290974.3</v>
      </c>
      <c r="D932" s="28">
        <v>132611.59</v>
      </c>
      <c r="E932" s="28">
        <v>132611.59</v>
      </c>
      <c r="F932" s="28">
        <v>132611.59</v>
      </c>
      <c r="G932" s="28">
        <f>F1192</f>
        <v>72478.580000000075</v>
      </c>
      <c r="H932" s="27"/>
    </row>
    <row r="933" spans="1:8" x14ac:dyDescent="0.25">
      <c r="A933" s="23" t="s">
        <v>805</v>
      </c>
      <c r="B933" s="23" t="s">
        <v>2</v>
      </c>
      <c r="C933" s="29"/>
      <c r="D933" s="29"/>
      <c r="E933" s="29"/>
      <c r="F933" s="29"/>
      <c r="G933" s="29"/>
      <c r="H933" s="29"/>
    </row>
    <row r="934" spans="1:8" x14ac:dyDescent="0.25">
      <c r="A934" s="23" t="s">
        <v>2026</v>
      </c>
      <c r="B934" s="23" t="s">
        <v>2</v>
      </c>
      <c r="C934" s="29"/>
      <c r="D934" s="29"/>
      <c r="E934" s="29"/>
      <c r="F934" s="29"/>
      <c r="G934" s="29"/>
      <c r="H934" s="29"/>
    </row>
    <row r="935" spans="1:8" x14ac:dyDescent="0.25">
      <c r="A935" s="23" t="s">
        <v>2102</v>
      </c>
      <c r="B935" s="23" t="s">
        <v>2</v>
      </c>
      <c r="C935" s="29"/>
      <c r="D935" s="29"/>
      <c r="E935" s="29"/>
      <c r="F935" s="29"/>
      <c r="G935" s="29"/>
      <c r="H935" s="29"/>
    </row>
    <row r="936" spans="1:8" x14ac:dyDescent="0.25">
      <c r="A936" s="23" t="s">
        <v>2111</v>
      </c>
      <c r="B936" s="23" t="s">
        <v>2</v>
      </c>
      <c r="C936" s="29"/>
      <c r="D936" s="29"/>
      <c r="E936" s="29"/>
      <c r="F936" s="29"/>
      <c r="G936" s="29"/>
      <c r="H936" s="29"/>
    </row>
    <row r="937" spans="1:8" x14ac:dyDescent="0.25">
      <c r="A937" s="30" t="s">
        <v>2607</v>
      </c>
      <c r="B937" s="30" t="s">
        <v>2608</v>
      </c>
      <c r="C937" s="31">
        <v>0</v>
      </c>
      <c r="D937" s="31">
        <v>0</v>
      </c>
      <c r="E937" s="31">
        <v>0</v>
      </c>
      <c r="F937" s="31">
        <v>0</v>
      </c>
      <c r="G937" s="31">
        <v>0</v>
      </c>
      <c r="H937" s="29"/>
    </row>
    <row r="938" spans="1:8" x14ac:dyDescent="0.25">
      <c r="A938" s="30" t="s">
        <v>2613</v>
      </c>
      <c r="B938" s="30" t="s">
        <v>2123</v>
      </c>
      <c r="C938" s="31">
        <v>1262.51</v>
      </c>
      <c r="D938" s="31">
        <v>0</v>
      </c>
      <c r="E938" s="31">
        <v>0</v>
      </c>
      <c r="F938" s="31">
        <v>0</v>
      </c>
      <c r="G938" s="31">
        <v>0</v>
      </c>
      <c r="H938" s="29"/>
    </row>
    <row r="939" spans="1:8" x14ac:dyDescent="0.25">
      <c r="A939" s="23" t="s">
        <v>2126</v>
      </c>
      <c r="B939" s="23" t="s">
        <v>2</v>
      </c>
      <c r="C939" s="32">
        <v>1262.51</v>
      </c>
      <c r="D939" s="32">
        <v>0</v>
      </c>
      <c r="E939" s="32">
        <f>E937+E938</f>
        <v>0</v>
      </c>
      <c r="F939" s="32">
        <f>SUM(F937:F938)</f>
        <v>0</v>
      </c>
      <c r="G939" s="32">
        <f>SUM(G937:G938)</f>
        <v>0</v>
      </c>
      <c r="H939" s="29"/>
    </row>
    <row r="940" spans="1:8" x14ac:dyDescent="0.25">
      <c r="A940" s="30"/>
      <c r="B940" s="30"/>
      <c r="C940" s="31"/>
      <c r="D940" s="31"/>
      <c r="E940" s="31"/>
      <c r="F940" s="31"/>
      <c r="G940" s="31"/>
      <c r="H940" s="29"/>
    </row>
    <row r="941" spans="1:8" x14ac:dyDescent="0.25">
      <c r="A941" s="23" t="s">
        <v>2609</v>
      </c>
      <c r="B941" s="23" t="s">
        <v>2</v>
      </c>
      <c r="C941" s="29"/>
      <c r="D941" s="29"/>
      <c r="E941" s="29"/>
      <c r="F941" s="29"/>
      <c r="G941" s="29"/>
      <c r="H941" s="29"/>
    </row>
    <row r="942" spans="1:8" x14ac:dyDescent="0.25">
      <c r="A942" s="30" t="s">
        <v>2610</v>
      </c>
      <c r="B942" s="30" t="s">
        <v>2611</v>
      </c>
      <c r="C942" s="31">
        <v>0</v>
      </c>
      <c r="D942" s="31">
        <v>0</v>
      </c>
      <c r="E942" s="31">
        <v>0</v>
      </c>
      <c r="F942" s="31">
        <v>1095000</v>
      </c>
      <c r="G942" s="31">
        <v>4100000</v>
      </c>
      <c r="H942" s="29"/>
    </row>
    <row r="943" spans="1:8" x14ac:dyDescent="0.25">
      <c r="A943" s="23" t="s">
        <v>2612</v>
      </c>
      <c r="B943" s="23" t="s">
        <v>2</v>
      </c>
      <c r="C943" s="32">
        <v>0</v>
      </c>
      <c r="D943" s="32">
        <v>0</v>
      </c>
      <c r="E943" s="32">
        <f>E942</f>
        <v>0</v>
      </c>
      <c r="F943" s="32">
        <f>SUM(F942)</f>
        <v>1095000</v>
      </c>
      <c r="G943" s="32">
        <f>SUM(G942)</f>
        <v>4100000</v>
      </c>
      <c r="H943" s="29"/>
    </row>
    <row r="944" spans="1:8" x14ac:dyDescent="0.25">
      <c r="A944" s="23" t="s">
        <v>2</v>
      </c>
      <c r="B944" s="23" t="s">
        <v>2</v>
      </c>
      <c r="C944" s="23" t="s">
        <v>2</v>
      </c>
      <c r="D944" s="23" t="s">
        <v>2</v>
      </c>
      <c r="E944" s="23"/>
      <c r="F944" s="23" t="s">
        <v>2</v>
      </c>
      <c r="G944" s="23" t="s">
        <v>2</v>
      </c>
      <c r="H944" s="29"/>
    </row>
    <row r="945" spans="1:8" x14ac:dyDescent="0.25">
      <c r="A945" s="23" t="s">
        <v>2127</v>
      </c>
      <c r="B945" s="23" t="s">
        <v>2</v>
      </c>
      <c r="C945" s="29"/>
      <c r="D945" s="29"/>
      <c r="E945" s="29"/>
      <c r="F945" s="29"/>
      <c r="G945" s="29"/>
      <c r="H945" s="29"/>
    </row>
    <row r="946" spans="1:8" x14ac:dyDescent="0.25">
      <c r="A946" s="30" t="s">
        <v>2614</v>
      </c>
      <c r="B946" s="30" t="s">
        <v>2615</v>
      </c>
      <c r="C946" s="31">
        <v>0</v>
      </c>
      <c r="D946" s="31">
        <v>0</v>
      </c>
      <c r="E946" s="31">
        <v>0</v>
      </c>
      <c r="F946" s="31">
        <v>0</v>
      </c>
      <c r="G946" s="31">
        <v>0</v>
      </c>
      <c r="H946" s="29"/>
    </row>
    <row r="947" spans="1:8" ht="24" x14ac:dyDescent="0.25">
      <c r="A947" s="30" t="s">
        <v>2616</v>
      </c>
      <c r="B947" s="30" t="s">
        <v>2617</v>
      </c>
      <c r="C947" s="31">
        <v>0</v>
      </c>
      <c r="D947" s="31">
        <v>0</v>
      </c>
      <c r="E947" s="31">
        <v>0</v>
      </c>
      <c r="F947" s="31">
        <v>0</v>
      </c>
      <c r="G947" s="31">
        <v>0</v>
      </c>
      <c r="H947" s="29"/>
    </row>
    <row r="948" spans="1:8" x14ac:dyDescent="0.25">
      <c r="A948" s="30" t="s">
        <v>2618</v>
      </c>
      <c r="B948" s="30" t="s">
        <v>2619</v>
      </c>
      <c r="C948" s="31">
        <v>0</v>
      </c>
      <c r="D948" s="31">
        <v>0</v>
      </c>
      <c r="E948" s="31">
        <v>0</v>
      </c>
      <c r="F948" s="31">
        <v>0</v>
      </c>
      <c r="G948" s="66">
        <v>0</v>
      </c>
      <c r="H948" s="29" t="s">
        <v>3424</v>
      </c>
    </row>
    <row r="949" spans="1:8" x14ac:dyDescent="0.25">
      <c r="A949" s="30" t="s">
        <v>2620</v>
      </c>
      <c r="B949" s="30" t="s">
        <v>2621</v>
      </c>
      <c r="C949" s="31">
        <v>0</v>
      </c>
      <c r="D949" s="31">
        <v>0</v>
      </c>
      <c r="E949" s="31">
        <v>0</v>
      </c>
      <c r="F949" s="31">
        <v>0</v>
      </c>
      <c r="G949" s="31">
        <v>0</v>
      </c>
      <c r="H949" s="29"/>
    </row>
    <row r="950" spans="1:8" x14ac:dyDescent="0.25">
      <c r="A950" s="30" t="s">
        <v>2622</v>
      </c>
      <c r="B950" s="30" t="s">
        <v>2623</v>
      </c>
      <c r="C950" s="31">
        <v>0</v>
      </c>
      <c r="D950" s="31">
        <v>0</v>
      </c>
      <c r="E950" s="31">
        <v>0</v>
      </c>
      <c r="F950" s="31">
        <v>0</v>
      </c>
      <c r="G950" s="31">
        <v>0</v>
      </c>
      <c r="H950" s="29"/>
    </row>
    <row r="951" spans="1:8" x14ac:dyDescent="0.25">
      <c r="A951" s="30" t="s">
        <v>2624</v>
      </c>
      <c r="B951" s="30" t="s">
        <v>2625</v>
      </c>
      <c r="C951" s="31">
        <v>0</v>
      </c>
      <c r="D951" s="31">
        <v>0</v>
      </c>
      <c r="E951" s="31">
        <v>0</v>
      </c>
      <c r="F951" s="31">
        <v>0</v>
      </c>
      <c r="G951" s="31">
        <v>0</v>
      </c>
      <c r="H951" s="29"/>
    </row>
    <row r="952" spans="1:8" x14ac:dyDescent="0.25">
      <c r="A952" s="30" t="s">
        <v>2626</v>
      </c>
      <c r="B952" s="30" t="s">
        <v>2627</v>
      </c>
      <c r="C952" s="31">
        <v>0</v>
      </c>
      <c r="D952" s="31">
        <v>0</v>
      </c>
      <c r="E952" s="31">
        <v>0</v>
      </c>
      <c r="F952" s="31">
        <v>0</v>
      </c>
      <c r="G952" s="31">
        <v>0</v>
      </c>
      <c r="H952" s="29"/>
    </row>
    <row r="953" spans="1:8" x14ac:dyDescent="0.25">
      <c r="A953" s="30" t="s">
        <v>2628</v>
      </c>
      <c r="B953" s="30" t="s">
        <v>2629</v>
      </c>
      <c r="C953" s="31">
        <v>0</v>
      </c>
      <c r="D953" s="31">
        <v>0</v>
      </c>
      <c r="E953" s="31">
        <v>0</v>
      </c>
      <c r="F953" s="31">
        <v>0</v>
      </c>
      <c r="G953" s="31">
        <v>0</v>
      </c>
      <c r="H953" s="29"/>
    </row>
    <row r="954" spans="1:8" x14ac:dyDescent="0.25">
      <c r="A954" s="30" t="s">
        <v>2630</v>
      </c>
      <c r="B954" s="30" t="s">
        <v>2631</v>
      </c>
      <c r="C954" s="31">
        <v>0</v>
      </c>
      <c r="D954" s="31">
        <v>0</v>
      </c>
      <c r="E954" s="31">
        <v>0</v>
      </c>
      <c r="F954" s="31">
        <v>0</v>
      </c>
      <c r="G954" s="31">
        <v>0</v>
      </c>
      <c r="H954" s="29"/>
    </row>
    <row r="955" spans="1:8" x14ac:dyDescent="0.25">
      <c r="A955" s="30" t="s">
        <v>2632</v>
      </c>
      <c r="B955" s="30" t="s">
        <v>2633</v>
      </c>
      <c r="C955" s="31">
        <v>0</v>
      </c>
      <c r="D955" s="31">
        <v>0</v>
      </c>
      <c r="E955" s="31">
        <v>0</v>
      </c>
      <c r="F955" s="31">
        <v>0</v>
      </c>
      <c r="G955" s="31">
        <v>0</v>
      </c>
      <c r="H955" s="29"/>
    </row>
    <row r="956" spans="1:8" x14ac:dyDescent="0.25">
      <c r="A956" s="30" t="s">
        <v>2634</v>
      </c>
      <c r="B956" s="30" t="s">
        <v>2635</v>
      </c>
      <c r="C956" s="31">
        <v>0</v>
      </c>
      <c r="D956" s="31">
        <v>0</v>
      </c>
      <c r="E956" s="31">
        <v>0</v>
      </c>
      <c r="F956" s="31">
        <v>0</v>
      </c>
      <c r="G956" s="66">
        <v>0</v>
      </c>
      <c r="H956" s="29" t="s">
        <v>3424</v>
      </c>
    </row>
    <row r="957" spans="1:8" x14ac:dyDescent="0.25">
      <c r="A957" s="30"/>
      <c r="B957" s="30" t="s">
        <v>3425</v>
      </c>
      <c r="C957" s="31"/>
      <c r="D957" s="31"/>
      <c r="E957" s="31"/>
      <c r="F957" s="31"/>
      <c r="G957" s="31"/>
      <c r="H957" s="29"/>
    </row>
    <row r="958" spans="1:8" x14ac:dyDescent="0.25">
      <c r="A958" s="30" t="s">
        <v>2636</v>
      </c>
      <c r="B958" s="30" t="s">
        <v>2637</v>
      </c>
      <c r="C958" s="31">
        <v>0</v>
      </c>
      <c r="D958" s="31">
        <v>0</v>
      </c>
      <c r="E958" s="31">
        <v>0</v>
      </c>
      <c r="F958" s="31">
        <v>0</v>
      </c>
      <c r="G958" s="31">
        <v>0</v>
      </c>
      <c r="H958" s="29"/>
    </row>
    <row r="959" spans="1:8" x14ac:dyDescent="0.25">
      <c r="A959" s="23" t="s">
        <v>2157</v>
      </c>
      <c r="B959" s="23" t="s">
        <v>2</v>
      </c>
      <c r="C959" s="32">
        <v>0</v>
      </c>
      <c r="D959" s="32">
        <v>0</v>
      </c>
      <c r="E959" s="32">
        <f>SUM(E946:E958)</f>
        <v>0</v>
      </c>
      <c r="F959" s="32">
        <f>SUM(F946:F958)</f>
        <v>0</v>
      </c>
      <c r="G959" s="32">
        <f>SUM(G946:G958)</f>
        <v>0</v>
      </c>
      <c r="H959" s="29"/>
    </row>
    <row r="960" spans="1:8" x14ac:dyDescent="0.25">
      <c r="A960" s="23" t="s">
        <v>2</v>
      </c>
      <c r="B960" s="23" t="s">
        <v>2</v>
      </c>
      <c r="C960" s="23" t="s">
        <v>2</v>
      </c>
      <c r="D960" s="23" t="s">
        <v>2</v>
      </c>
      <c r="E960" s="23"/>
      <c r="F960" s="23" t="s">
        <v>2</v>
      </c>
      <c r="G960" s="23" t="s">
        <v>2</v>
      </c>
      <c r="H960" s="29"/>
    </row>
    <row r="961" spans="1:9" ht="24" x14ac:dyDescent="0.25">
      <c r="A961" s="23" t="s">
        <v>2160</v>
      </c>
      <c r="B961" s="23" t="s">
        <v>2</v>
      </c>
      <c r="C961" s="29"/>
      <c r="D961" s="29"/>
      <c r="E961" s="29"/>
      <c r="F961" s="29"/>
      <c r="G961" s="29"/>
      <c r="H961" s="29"/>
    </row>
    <row r="962" spans="1:9" x14ac:dyDescent="0.25">
      <c r="A962" s="30" t="s">
        <v>2638</v>
      </c>
      <c r="B962" s="30" t="s">
        <v>2639</v>
      </c>
      <c r="C962" s="31">
        <v>19694.060000000001</v>
      </c>
      <c r="D962" s="31">
        <v>5127.51</v>
      </c>
      <c r="E962" s="31">
        <v>15381.64</v>
      </c>
      <c r="F962" s="31">
        <v>20156</v>
      </c>
      <c r="G962" s="31">
        <v>18000</v>
      </c>
      <c r="H962" s="60"/>
      <c r="I962" s="41"/>
    </row>
    <row r="963" spans="1:9" x14ac:dyDescent="0.25">
      <c r="A963" s="30" t="s">
        <v>2640</v>
      </c>
      <c r="B963" s="30" t="s">
        <v>2641</v>
      </c>
      <c r="C963" s="31">
        <v>262413.65999999997</v>
      </c>
      <c r="D963" s="31">
        <v>109207.46</v>
      </c>
      <c r="E963" s="31">
        <v>208704.22</v>
      </c>
      <c r="F963" s="31">
        <v>277151</v>
      </c>
      <c r="G963" s="31">
        <v>250000</v>
      </c>
      <c r="H963" s="60"/>
      <c r="I963" s="41"/>
    </row>
    <row r="964" spans="1:9" x14ac:dyDescent="0.25">
      <c r="A964" s="30" t="s">
        <v>2642</v>
      </c>
      <c r="B964" s="30" t="s">
        <v>2643</v>
      </c>
      <c r="C964" s="31">
        <v>17232.48</v>
      </c>
      <c r="D964" s="31">
        <v>4486.62</v>
      </c>
      <c r="E964" s="31">
        <v>13459.09</v>
      </c>
      <c r="F964" s="31">
        <v>17713</v>
      </c>
      <c r="G964" s="31">
        <v>16000</v>
      </c>
      <c r="H964" s="60"/>
      <c r="I964" s="41"/>
    </row>
    <row r="965" spans="1:9" ht="24" x14ac:dyDescent="0.25">
      <c r="A965" s="23" t="s">
        <v>2171</v>
      </c>
      <c r="B965" s="23" t="s">
        <v>2</v>
      </c>
      <c r="C965" s="32">
        <v>299340.2</v>
      </c>
      <c r="D965" s="32">
        <v>118821.59</v>
      </c>
      <c r="E965" s="32">
        <f>SUM(E962:E964)</f>
        <v>237544.94999999998</v>
      </c>
      <c r="F965" s="32">
        <f>SUM(F962:F964)</f>
        <v>315020</v>
      </c>
      <c r="G965" s="32">
        <f>SUM(G962:G964)</f>
        <v>284000</v>
      </c>
      <c r="H965" s="29"/>
    </row>
    <row r="966" spans="1:9" x14ac:dyDescent="0.25">
      <c r="A966" s="23" t="s">
        <v>2</v>
      </c>
      <c r="B966" s="23" t="s">
        <v>2</v>
      </c>
      <c r="C966" s="23" t="s">
        <v>2</v>
      </c>
      <c r="D966" s="23" t="s">
        <v>2</v>
      </c>
      <c r="E966" s="23"/>
      <c r="F966" s="23" t="s">
        <v>2</v>
      </c>
      <c r="G966" s="23" t="s">
        <v>2</v>
      </c>
      <c r="H966" s="29"/>
    </row>
    <row r="967" spans="1:9" ht="24" x14ac:dyDescent="0.25">
      <c r="A967" s="23" t="s">
        <v>2644</v>
      </c>
      <c r="B967" s="23" t="s">
        <v>2</v>
      </c>
      <c r="C967" s="29"/>
      <c r="D967" s="29"/>
      <c r="E967" s="29"/>
      <c r="F967" s="29"/>
      <c r="G967" s="29"/>
      <c r="H967" s="29"/>
    </row>
    <row r="968" spans="1:9" ht="24" x14ac:dyDescent="0.25">
      <c r="A968" s="23" t="s">
        <v>2645</v>
      </c>
      <c r="B968" s="23" t="s">
        <v>2</v>
      </c>
      <c r="C968" s="29"/>
      <c r="D968" s="29"/>
      <c r="E968" s="29"/>
      <c r="F968" s="29"/>
      <c r="G968" s="29"/>
      <c r="H968" s="29"/>
    </row>
    <row r="969" spans="1:9" x14ac:dyDescent="0.25">
      <c r="A969" s="30" t="s">
        <v>2646</v>
      </c>
      <c r="B969" s="30" t="s">
        <v>2647</v>
      </c>
      <c r="C969" s="31">
        <v>0</v>
      </c>
      <c r="D969" s="31">
        <v>0</v>
      </c>
      <c r="E969" s="31">
        <v>0</v>
      </c>
      <c r="F969" s="31">
        <v>0</v>
      </c>
      <c r="G969" s="31">
        <v>0</v>
      </c>
      <c r="H969" s="29"/>
    </row>
    <row r="970" spans="1:9" x14ac:dyDescent="0.25">
      <c r="A970" s="30" t="s">
        <v>2648</v>
      </c>
      <c r="B970" s="30" t="s">
        <v>2649</v>
      </c>
      <c r="C970" s="31">
        <v>0</v>
      </c>
      <c r="D970" s="31">
        <v>0</v>
      </c>
      <c r="E970" s="31">
        <v>0</v>
      </c>
      <c r="F970" s="31">
        <v>0</v>
      </c>
      <c r="G970" s="31">
        <v>0</v>
      </c>
      <c r="H970" s="29"/>
    </row>
    <row r="971" spans="1:9" ht="24" x14ac:dyDescent="0.25">
      <c r="A971" s="23" t="s">
        <v>2650</v>
      </c>
      <c r="B971" s="23" t="s">
        <v>2</v>
      </c>
      <c r="C971" s="32">
        <v>0</v>
      </c>
      <c r="D971" s="32">
        <v>0</v>
      </c>
      <c r="E971" s="32">
        <f>SUM(E969:E970)</f>
        <v>0</v>
      </c>
      <c r="F971" s="32">
        <f>SUM(F969:F970)</f>
        <v>0</v>
      </c>
      <c r="G971" s="32">
        <f>SUM(G969:G970)</f>
        <v>0</v>
      </c>
      <c r="H971" s="29"/>
    </row>
    <row r="972" spans="1:9" x14ac:dyDescent="0.25">
      <c r="A972" s="23" t="s">
        <v>2</v>
      </c>
      <c r="B972" s="23" t="s">
        <v>2</v>
      </c>
      <c r="C972" s="23" t="s">
        <v>2</v>
      </c>
      <c r="D972" s="23" t="s">
        <v>2</v>
      </c>
      <c r="E972" s="23"/>
      <c r="F972" s="23" t="s">
        <v>2</v>
      </c>
      <c r="G972" s="23" t="s">
        <v>2</v>
      </c>
      <c r="H972" s="29"/>
    </row>
    <row r="973" spans="1:9" ht="24" x14ac:dyDescent="0.25">
      <c r="A973" s="23" t="s">
        <v>2174</v>
      </c>
      <c r="B973" s="23" t="s">
        <v>2</v>
      </c>
      <c r="C973" s="32">
        <v>300602.71000000002</v>
      </c>
      <c r="D973" s="32">
        <v>118821.59</v>
      </c>
      <c r="E973" s="32">
        <f>E959+E965+E971</f>
        <v>237544.94999999998</v>
      </c>
      <c r="F973" s="32">
        <f>F939+F943+F959+F965+F971</f>
        <v>1410020</v>
      </c>
      <c r="G973" s="32">
        <f>G939+G943+G959+G965+G971</f>
        <v>4384000</v>
      </c>
      <c r="H973" s="29"/>
    </row>
    <row r="974" spans="1:9" x14ac:dyDescent="0.25">
      <c r="A974" s="23" t="s">
        <v>2</v>
      </c>
      <c r="B974" s="23" t="s">
        <v>2</v>
      </c>
      <c r="C974" s="23" t="s">
        <v>2</v>
      </c>
      <c r="D974" s="23" t="s">
        <v>2</v>
      </c>
      <c r="E974" s="23"/>
      <c r="F974" s="23" t="s">
        <v>2</v>
      </c>
      <c r="G974" s="23" t="s">
        <v>2</v>
      </c>
      <c r="H974" s="29"/>
    </row>
    <row r="975" spans="1:9" x14ac:dyDescent="0.25">
      <c r="A975" s="30" t="s">
        <v>2651</v>
      </c>
      <c r="B975" s="30" t="s">
        <v>2652</v>
      </c>
      <c r="C975" s="31">
        <v>24600</v>
      </c>
      <c r="D975" s="31">
        <v>11800</v>
      </c>
      <c r="E975" s="31">
        <v>18000</v>
      </c>
      <c r="F975" s="31">
        <v>15000</v>
      </c>
      <c r="G975" s="31">
        <v>15000</v>
      </c>
      <c r="H975" s="29"/>
    </row>
    <row r="976" spans="1:9" x14ac:dyDescent="0.25">
      <c r="A976" s="30" t="s">
        <v>2653</v>
      </c>
      <c r="B976" s="30" t="s">
        <v>2654</v>
      </c>
      <c r="C976" s="31">
        <v>0</v>
      </c>
      <c r="D976" s="31">
        <v>0</v>
      </c>
      <c r="E976" s="31">
        <v>0</v>
      </c>
      <c r="F976" s="31">
        <v>0</v>
      </c>
      <c r="G976" s="31">
        <v>0</v>
      </c>
      <c r="H976" s="29"/>
    </row>
    <row r="977" spans="1:8" x14ac:dyDescent="0.25">
      <c r="A977" s="30" t="s">
        <v>2655</v>
      </c>
      <c r="B977" s="30" t="s">
        <v>2656</v>
      </c>
      <c r="C977" s="31">
        <v>0</v>
      </c>
      <c r="D977" s="31">
        <v>0</v>
      </c>
      <c r="E977" s="31">
        <v>0</v>
      </c>
      <c r="F977" s="31">
        <v>0</v>
      </c>
      <c r="G977" s="31">
        <v>0</v>
      </c>
      <c r="H977" s="29"/>
    </row>
    <row r="978" spans="1:8" x14ac:dyDescent="0.25">
      <c r="A978" s="30" t="s">
        <v>2657</v>
      </c>
      <c r="B978" s="30" t="s">
        <v>2652</v>
      </c>
      <c r="C978" s="31">
        <v>0</v>
      </c>
      <c r="D978" s="31">
        <v>0</v>
      </c>
      <c r="E978" s="31">
        <v>0</v>
      </c>
      <c r="F978" s="31">
        <v>0</v>
      </c>
      <c r="G978" s="31">
        <v>0</v>
      </c>
      <c r="H978" s="29"/>
    </row>
    <row r="979" spans="1:8" x14ac:dyDescent="0.25">
      <c r="A979" s="30"/>
      <c r="B979" s="30"/>
      <c r="C979" s="31"/>
      <c r="D979" s="31"/>
      <c r="E979" s="31"/>
      <c r="F979" s="31"/>
      <c r="G979" s="31"/>
      <c r="H979" s="29"/>
    </row>
    <row r="980" spans="1:8" x14ac:dyDescent="0.25">
      <c r="A980" s="23" t="s">
        <v>2175</v>
      </c>
      <c r="B980" s="23" t="s">
        <v>2</v>
      </c>
      <c r="C980" s="29"/>
      <c r="D980" s="29"/>
      <c r="E980" s="29"/>
      <c r="F980" s="29"/>
      <c r="G980" s="29"/>
      <c r="H980" s="29"/>
    </row>
    <row r="981" spans="1:8" x14ac:dyDescent="0.25">
      <c r="A981" s="23" t="s">
        <v>2176</v>
      </c>
      <c r="B981" s="23" t="s">
        <v>2</v>
      </c>
      <c r="C981" s="29"/>
      <c r="D981" s="29"/>
      <c r="E981" s="29"/>
      <c r="F981" s="29"/>
      <c r="G981" s="29"/>
      <c r="H981" s="29"/>
    </row>
    <row r="982" spans="1:8" x14ac:dyDescent="0.25">
      <c r="A982" s="23" t="s">
        <v>2564</v>
      </c>
      <c r="B982" s="23" t="s">
        <v>2</v>
      </c>
      <c r="C982" s="29"/>
      <c r="D982" s="29"/>
      <c r="E982" s="29"/>
      <c r="F982" s="29"/>
      <c r="G982" s="29"/>
      <c r="H982" s="29"/>
    </row>
    <row r="983" spans="1:8" x14ac:dyDescent="0.25">
      <c r="A983" s="30" t="s">
        <v>2658</v>
      </c>
      <c r="B983" s="30" t="s">
        <v>2409</v>
      </c>
      <c r="C983" s="31">
        <v>0</v>
      </c>
      <c r="D983" s="31">
        <v>0</v>
      </c>
      <c r="E983" s="31">
        <v>0</v>
      </c>
      <c r="F983" s="31">
        <v>0</v>
      </c>
      <c r="G983" s="31">
        <v>0</v>
      </c>
      <c r="H983" s="29"/>
    </row>
    <row r="984" spans="1:8" ht="24" x14ac:dyDescent="0.25">
      <c r="A984" s="23" t="s">
        <v>2580</v>
      </c>
      <c r="B984" s="23" t="s">
        <v>2</v>
      </c>
      <c r="C984" s="32">
        <v>0</v>
      </c>
      <c r="D984" s="32">
        <v>0</v>
      </c>
      <c r="E984" s="32">
        <f>E983</f>
        <v>0</v>
      </c>
      <c r="F984" s="32">
        <f>SUM(F983)</f>
        <v>0</v>
      </c>
      <c r="G984" s="32">
        <f>SUM(G983)</f>
        <v>0</v>
      </c>
      <c r="H984" s="29"/>
    </row>
    <row r="985" spans="1:8" x14ac:dyDescent="0.25">
      <c r="A985" s="23" t="s">
        <v>2</v>
      </c>
      <c r="B985" s="23" t="s">
        <v>2</v>
      </c>
      <c r="C985" s="23" t="s">
        <v>2</v>
      </c>
      <c r="D985" s="23" t="s">
        <v>2</v>
      </c>
      <c r="E985" s="23"/>
      <c r="F985" s="23" t="s">
        <v>2</v>
      </c>
      <c r="G985" s="23" t="s">
        <v>2</v>
      </c>
      <c r="H985" s="29"/>
    </row>
    <row r="986" spans="1:8" x14ac:dyDescent="0.25">
      <c r="A986" s="30" t="s">
        <v>2659</v>
      </c>
      <c r="B986" s="30" t="s">
        <v>2660</v>
      </c>
      <c r="C986" s="31">
        <v>0</v>
      </c>
      <c r="D986" s="31">
        <v>0</v>
      </c>
      <c r="E986" s="31">
        <v>0</v>
      </c>
      <c r="F986" s="31">
        <v>0</v>
      </c>
      <c r="G986" s="31">
        <v>0</v>
      </c>
      <c r="H986" s="29"/>
    </row>
    <row r="987" spans="1:8" x14ac:dyDescent="0.25">
      <c r="A987" s="30"/>
      <c r="B987" s="30"/>
      <c r="C987" s="31"/>
      <c r="D987" s="31"/>
      <c r="E987" s="31"/>
      <c r="F987" s="31"/>
      <c r="G987" s="31"/>
      <c r="H987" s="29"/>
    </row>
    <row r="988" spans="1:8" ht="24" x14ac:dyDescent="0.25">
      <c r="A988" s="23" t="s">
        <v>2581</v>
      </c>
      <c r="B988" s="23" t="s">
        <v>2</v>
      </c>
      <c r="C988" s="29"/>
      <c r="D988" s="29"/>
      <c r="E988" s="29"/>
      <c r="F988" s="29"/>
      <c r="G988" s="29"/>
      <c r="H988" s="29"/>
    </row>
    <row r="989" spans="1:8" x14ac:dyDescent="0.25">
      <c r="A989" s="30" t="s">
        <v>2661</v>
      </c>
      <c r="B989" s="30" t="s">
        <v>2662</v>
      </c>
      <c r="C989" s="31">
        <v>0</v>
      </c>
      <c r="D989" s="31">
        <v>0</v>
      </c>
      <c r="E989" s="31">
        <v>0</v>
      </c>
      <c r="F989" s="31">
        <v>0</v>
      </c>
      <c r="G989" s="31">
        <v>0</v>
      </c>
      <c r="H989" s="29"/>
    </row>
    <row r="990" spans="1:8" x14ac:dyDescent="0.25">
      <c r="A990" s="30" t="s">
        <v>2663</v>
      </c>
      <c r="B990" s="30" t="s">
        <v>2664</v>
      </c>
      <c r="C990" s="31">
        <v>224.88</v>
      </c>
      <c r="D990" s="31">
        <v>0</v>
      </c>
      <c r="E990" s="31">
        <v>0</v>
      </c>
      <c r="F990" s="31">
        <v>0</v>
      </c>
      <c r="G990" s="31">
        <v>0</v>
      </c>
      <c r="H990" s="29"/>
    </row>
    <row r="991" spans="1:8" x14ac:dyDescent="0.25">
      <c r="A991" s="30" t="s">
        <v>2665</v>
      </c>
      <c r="B991" s="30" t="s">
        <v>64</v>
      </c>
      <c r="C991" s="31">
        <v>353.5</v>
      </c>
      <c r="D991" s="31">
        <v>0</v>
      </c>
      <c r="E991" s="31">
        <v>0</v>
      </c>
      <c r="F991" s="31">
        <v>0</v>
      </c>
      <c r="G991" s="31">
        <v>0</v>
      </c>
      <c r="H991" s="29"/>
    </row>
    <row r="992" spans="1:8" ht="24" x14ac:dyDescent="0.25">
      <c r="A992" s="23" t="s">
        <v>2585</v>
      </c>
      <c r="B992" s="23" t="s">
        <v>2</v>
      </c>
      <c r="C992" s="32">
        <v>578.38</v>
      </c>
      <c r="D992" s="32">
        <v>0</v>
      </c>
      <c r="E992" s="32">
        <f>SUM(E989:E991)</f>
        <v>0</v>
      </c>
      <c r="F992" s="32">
        <f>SUM(F989:F991)</f>
        <v>0</v>
      </c>
      <c r="G992" s="32">
        <f>SUM(G989:G991)</f>
        <v>0</v>
      </c>
      <c r="H992" s="29"/>
    </row>
    <row r="993" spans="1:8" x14ac:dyDescent="0.25">
      <c r="A993" s="23" t="s">
        <v>2</v>
      </c>
      <c r="B993" s="23" t="s">
        <v>2</v>
      </c>
      <c r="C993" s="23" t="s">
        <v>2</v>
      </c>
      <c r="D993" s="23" t="s">
        <v>2</v>
      </c>
      <c r="E993" s="23"/>
      <c r="F993" s="23" t="s">
        <v>2</v>
      </c>
      <c r="G993" s="23" t="s">
        <v>2</v>
      </c>
      <c r="H993" s="29"/>
    </row>
    <row r="994" spans="1:8" ht="24" x14ac:dyDescent="0.25">
      <c r="A994" s="23" t="s">
        <v>2180</v>
      </c>
      <c r="B994" s="23" t="s">
        <v>2</v>
      </c>
      <c r="C994" s="32">
        <v>578.38</v>
      </c>
      <c r="D994" s="32">
        <v>0</v>
      </c>
      <c r="E994" s="32">
        <f>E992</f>
        <v>0</v>
      </c>
      <c r="F994" s="32">
        <f>F984+F986+F992</f>
        <v>0</v>
      </c>
      <c r="G994" s="32">
        <f>G984+G986+G992</f>
        <v>0</v>
      </c>
      <c r="H994" s="29"/>
    </row>
    <row r="995" spans="1:8" x14ac:dyDescent="0.25">
      <c r="A995" s="23" t="s">
        <v>2</v>
      </c>
      <c r="B995" s="23" t="s">
        <v>2</v>
      </c>
      <c r="C995" s="23" t="s">
        <v>2</v>
      </c>
      <c r="D995" s="23" t="s">
        <v>2</v>
      </c>
      <c r="E995" s="23"/>
      <c r="F995" s="23" t="s">
        <v>2</v>
      </c>
      <c r="G995" s="23" t="s">
        <v>2</v>
      </c>
      <c r="H995" s="29"/>
    </row>
    <row r="996" spans="1:8" x14ac:dyDescent="0.25">
      <c r="A996" s="23" t="s">
        <v>2553</v>
      </c>
      <c r="B996" s="23" t="s">
        <v>2</v>
      </c>
      <c r="C996" s="29"/>
      <c r="D996" s="29"/>
      <c r="E996" s="29"/>
      <c r="F996" s="29"/>
      <c r="G996" s="29"/>
      <c r="H996" s="29"/>
    </row>
    <row r="997" spans="1:8" x14ac:dyDescent="0.25">
      <c r="A997" s="23" t="s">
        <v>2666</v>
      </c>
      <c r="B997" s="23" t="s">
        <v>2</v>
      </c>
      <c r="C997" s="29"/>
      <c r="D997" s="29"/>
      <c r="E997" s="29"/>
      <c r="F997" s="29"/>
      <c r="G997" s="29"/>
      <c r="H997" s="29"/>
    </row>
    <row r="998" spans="1:8" ht="24" x14ac:dyDescent="0.25">
      <c r="A998" s="23" t="s">
        <v>2667</v>
      </c>
      <c r="B998" s="23" t="s">
        <v>2</v>
      </c>
      <c r="C998" s="29"/>
      <c r="D998" s="29"/>
      <c r="E998" s="29"/>
      <c r="F998" s="29"/>
      <c r="G998" s="29"/>
      <c r="H998" s="29"/>
    </row>
    <row r="999" spans="1:8" x14ac:dyDescent="0.25">
      <c r="A999" s="30" t="s">
        <v>2668</v>
      </c>
      <c r="B999" s="30" t="s">
        <v>2669</v>
      </c>
      <c r="C999" s="31">
        <v>9993.36</v>
      </c>
      <c r="D999" s="31">
        <v>0</v>
      </c>
      <c r="E999" s="31">
        <v>0</v>
      </c>
      <c r="F999" s="31">
        <v>0</v>
      </c>
      <c r="G999" s="31">
        <v>0</v>
      </c>
      <c r="H999" s="29"/>
    </row>
    <row r="1000" spans="1:8" ht="24" x14ac:dyDescent="0.25">
      <c r="A1000" s="23" t="s">
        <v>2670</v>
      </c>
      <c r="B1000" s="23" t="s">
        <v>2</v>
      </c>
      <c r="C1000" s="32">
        <v>9993.36</v>
      </c>
      <c r="D1000" s="32">
        <v>0</v>
      </c>
      <c r="E1000" s="32">
        <f>E999</f>
        <v>0</v>
      </c>
      <c r="F1000" s="32">
        <f>SUM(F999)</f>
        <v>0</v>
      </c>
      <c r="G1000" s="32">
        <f>SUM(G999)</f>
        <v>0</v>
      </c>
      <c r="H1000" s="29"/>
    </row>
    <row r="1001" spans="1:8" x14ac:dyDescent="0.25">
      <c r="A1001" s="23" t="s">
        <v>2</v>
      </c>
      <c r="B1001" s="23" t="s">
        <v>2</v>
      </c>
      <c r="C1001" s="23" t="s">
        <v>2</v>
      </c>
      <c r="D1001" s="23" t="s">
        <v>2</v>
      </c>
      <c r="E1001" s="23"/>
      <c r="F1001" s="23" t="s">
        <v>2</v>
      </c>
      <c r="G1001" s="23" t="s">
        <v>2</v>
      </c>
      <c r="H1001" s="29"/>
    </row>
    <row r="1002" spans="1:8" x14ac:dyDescent="0.25">
      <c r="A1002" s="23" t="s">
        <v>2691</v>
      </c>
      <c r="B1002" s="23" t="s">
        <v>2</v>
      </c>
      <c r="C1002" s="29"/>
      <c r="D1002" s="29"/>
      <c r="E1002" s="29"/>
      <c r="F1002" s="29"/>
      <c r="G1002" s="29"/>
      <c r="H1002" s="29"/>
    </row>
    <row r="1003" spans="1:8" x14ac:dyDescent="0.25">
      <c r="A1003" s="30" t="s">
        <v>2671</v>
      </c>
      <c r="B1003" s="30" t="s">
        <v>2672</v>
      </c>
      <c r="C1003" s="31">
        <v>212959.25</v>
      </c>
      <c r="D1003" s="31">
        <v>60537.73</v>
      </c>
      <c r="E1003" s="31">
        <v>127065.67</v>
      </c>
      <c r="F1003" s="31">
        <v>905000</v>
      </c>
      <c r="G1003" s="31">
        <f>G1246</f>
        <v>0</v>
      </c>
      <c r="H1003" s="29"/>
    </row>
    <row r="1004" spans="1:8" x14ac:dyDescent="0.25">
      <c r="A1004" s="30" t="s">
        <v>2673</v>
      </c>
      <c r="B1004" s="30" t="s">
        <v>2674</v>
      </c>
      <c r="C1004" s="31">
        <v>770000</v>
      </c>
      <c r="D1004" s="31">
        <v>187000</v>
      </c>
      <c r="E1004" s="31">
        <v>262000</v>
      </c>
      <c r="F1004" s="31">
        <v>1275000</v>
      </c>
      <c r="G1004" s="50">
        <v>1275000</v>
      </c>
      <c r="H1004" s="29" t="s">
        <v>3426</v>
      </c>
    </row>
    <row r="1005" spans="1:8" x14ac:dyDescent="0.25">
      <c r="A1005" s="30" t="s">
        <v>2675</v>
      </c>
      <c r="B1005" s="30" t="s">
        <v>2676</v>
      </c>
      <c r="C1005" s="31">
        <v>0</v>
      </c>
      <c r="D1005" s="31">
        <v>0</v>
      </c>
      <c r="E1005" s="31">
        <v>0</v>
      </c>
      <c r="F1005" s="31">
        <v>0</v>
      </c>
      <c r="G1005" s="31">
        <v>0</v>
      </c>
      <c r="H1005" s="29"/>
    </row>
    <row r="1006" spans="1:8" x14ac:dyDescent="0.25">
      <c r="A1006" s="30" t="s">
        <v>2677</v>
      </c>
      <c r="B1006" s="30" t="s">
        <v>2678</v>
      </c>
      <c r="C1006" s="31">
        <v>0</v>
      </c>
      <c r="D1006" s="31">
        <v>0</v>
      </c>
      <c r="E1006" s="31">
        <v>0</v>
      </c>
      <c r="F1006" s="31">
        <v>0</v>
      </c>
      <c r="G1006" s="31">
        <v>0</v>
      </c>
      <c r="H1006" s="29"/>
    </row>
    <row r="1007" spans="1:8" x14ac:dyDescent="0.25">
      <c r="A1007" s="30" t="s">
        <v>2679</v>
      </c>
      <c r="B1007" s="30" t="s">
        <v>2680</v>
      </c>
      <c r="C1007" s="31">
        <v>0</v>
      </c>
      <c r="D1007" s="31">
        <v>0</v>
      </c>
      <c r="E1007" s="31">
        <v>0</v>
      </c>
      <c r="F1007" s="31">
        <v>0</v>
      </c>
      <c r="G1007" s="31">
        <v>0</v>
      </c>
      <c r="H1007" s="29"/>
    </row>
    <row r="1008" spans="1:8" x14ac:dyDescent="0.25">
      <c r="A1008" s="30" t="s">
        <v>2681</v>
      </c>
      <c r="B1008" s="30" t="s">
        <v>2682</v>
      </c>
      <c r="C1008" s="31">
        <v>0</v>
      </c>
      <c r="D1008" s="31">
        <v>0</v>
      </c>
      <c r="E1008" s="31">
        <v>0</v>
      </c>
      <c r="F1008" s="31">
        <v>100000</v>
      </c>
      <c r="G1008" s="31">
        <v>0</v>
      </c>
      <c r="H1008" s="29"/>
    </row>
    <row r="1009" spans="1:8" x14ac:dyDescent="0.25">
      <c r="A1009" s="30" t="s">
        <v>2683</v>
      </c>
      <c r="B1009" s="30" t="s">
        <v>2684</v>
      </c>
      <c r="C1009" s="31">
        <v>54774.81</v>
      </c>
      <c r="D1009" s="31">
        <v>776.88</v>
      </c>
      <c r="E1009" s="31">
        <v>776.88</v>
      </c>
      <c r="F1009" s="31">
        <v>150000</v>
      </c>
      <c r="G1009" s="31">
        <v>0</v>
      </c>
      <c r="H1009" s="29"/>
    </row>
    <row r="1010" spans="1:8" x14ac:dyDescent="0.25">
      <c r="A1010" s="30" t="s">
        <v>2685</v>
      </c>
      <c r="B1010" s="30" t="s">
        <v>2686</v>
      </c>
      <c r="C1010" s="31">
        <v>0</v>
      </c>
      <c r="D1010" s="31">
        <v>0</v>
      </c>
      <c r="E1010" s="31">
        <v>0</v>
      </c>
      <c r="F1010" s="31">
        <v>0</v>
      </c>
      <c r="G1010" s="31">
        <v>0</v>
      </c>
      <c r="H1010" s="29"/>
    </row>
    <row r="1011" spans="1:8" x14ac:dyDescent="0.25">
      <c r="A1011" s="30" t="s">
        <v>2687</v>
      </c>
      <c r="B1011" s="30" t="s">
        <v>2688</v>
      </c>
      <c r="C1011" s="31">
        <v>0</v>
      </c>
      <c r="D1011" s="31">
        <v>0</v>
      </c>
      <c r="E1011" s="31">
        <v>0</v>
      </c>
      <c r="F1011" s="31">
        <v>250000</v>
      </c>
      <c r="G1011" s="31">
        <v>0</v>
      </c>
      <c r="H1011" s="29"/>
    </row>
    <row r="1012" spans="1:8" x14ac:dyDescent="0.25">
      <c r="A1012" s="30" t="s">
        <v>2689</v>
      </c>
      <c r="B1012" s="30" t="s">
        <v>2690</v>
      </c>
      <c r="C1012" s="31">
        <v>0</v>
      </c>
      <c r="D1012" s="31">
        <v>0</v>
      </c>
      <c r="E1012" s="31">
        <v>0</v>
      </c>
      <c r="F1012" s="31">
        <v>250000</v>
      </c>
      <c r="G1012" s="31">
        <v>0</v>
      </c>
      <c r="H1012" s="29"/>
    </row>
    <row r="1013" spans="1:8" x14ac:dyDescent="0.25">
      <c r="A1013" s="23" t="s">
        <v>2692</v>
      </c>
      <c r="B1013" s="23" t="s">
        <v>2</v>
      </c>
      <c r="C1013" s="32">
        <v>1037734.06</v>
      </c>
      <c r="D1013" s="32">
        <v>248314.61</v>
      </c>
      <c r="E1013" s="32">
        <f>SUM(E1003:E1012)</f>
        <v>389842.55</v>
      </c>
      <c r="F1013" s="32">
        <f>SUM(F1003:F1012)</f>
        <v>2930000</v>
      </c>
      <c r="G1013" s="32">
        <f>SUM(G1003:G1012)</f>
        <v>1275000</v>
      </c>
      <c r="H1013" s="29"/>
    </row>
    <row r="1014" spans="1:8" x14ac:dyDescent="0.25">
      <c r="A1014" s="23" t="s">
        <v>2</v>
      </c>
      <c r="B1014" s="23" t="s">
        <v>2</v>
      </c>
      <c r="C1014" s="23" t="s">
        <v>2</v>
      </c>
      <c r="D1014" s="23" t="s">
        <v>2</v>
      </c>
      <c r="E1014" s="23"/>
      <c r="F1014" s="23" t="s">
        <v>2</v>
      </c>
      <c r="G1014" s="23" t="s">
        <v>2</v>
      </c>
      <c r="H1014" s="29"/>
    </row>
    <row r="1015" spans="1:8" ht="24" x14ac:dyDescent="0.25">
      <c r="A1015" s="23" t="s">
        <v>2556</v>
      </c>
      <c r="B1015" s="23" t="s">
        <v>2</v>
      </c>
      <c r="C1015" s="32">
        <v>1047727.42</v>
      </c>
      <c r="D1015" s="32">
        <v>248314.61</v>
      </c>
      <c r="E1015" s="32">
        <f>E1013+E1000</f>
        <v>389842.55</v>
      </c>
      <c r="F1015" s="32">
        <f>F1000+F1013</f>
        <v>2930000</v>
      </c>
      <c r="G1015" s="32">
        <f>G1000+G1013</f>
        <v>1275000</v>
      </c>
      <c r="H1015" s="29"/>
    </row>
    <row r="1016" spans="1:8" x14ac:dyDescent="0.25">
      <c r="A1016" s="23" t="s">
        <v>2</v>
      </c>
      <c r="B1016" s="23" t="s">
        <v>2</v>
      </c>
      <c r="C1016" s="23" t="s">
        <v>2</v>
      </c>
      <c r="D1016" s="23" t="s">
        <v>2</v>
      </c>
      <c r="E1016" s="23"/>
      <c r="F1016" s="23" t="s">
        <v>2</v>
      </c>
      <c r="G1016" s="23" t="s">
        <v>2</v>
      </c>
      <c r="H1016" s="29"/>
    </row>
    <row r="1017" spans="1:8" x14ac:dyDescent="0.25">
      <c r="A1017" s="39" t="s">
        <v>2047</v>
      </c>
      <c r="B1017" s="23" t="s">
        <v>2</v>
      </c>
      <c r="C1017" s="32">
        <v>1373508.51</v>
      </c>
      <c r="D1017" s="32">
        <v>378936.2</v>
      </c>
      <c r="E1017" s="32">
        <f>E939+E943+E959+E965+E975+E1015</f>
        <v>645387.5</v>
      </c>
      <c r="F1017" s="32">
        <f>F1015+F994+SUM(F975:F978)+F973</f>
        <v>4355020</v>
      </c>
      <c r="G1017" s="32">
        <f>G1015+G994+SUM(G975:G978)+G973</f>
        <v>5674000</v>
      </c>
      <c r="H1017" s="29"/>
    </row>
    <row r="1018" spans="1:8" x14ac:dyDescent="0.25">
      <c r="A1018" s="1" t="s">
        <v>740</v>
      </c>
      <c r="B1018" s="1" t="s">
        <v>2</v>
      </c>
    </row>
    <row r="1019" spans="1:8" ht="29.25" customHeight="1" x14ac:dyDescent="0.25">
      <c r="A1019" s="1" t="s">
        <v>806</v>
      </c>
      <c r="B1019" s="1" t="s">
        <v>2</v>
      </c>
    </row>
    <row r="1020" spans="1:8" x14ac:dyDescent="0.25">
      <c r="A1020" s="2" t="s">
        <v>807</v>
      </c>
      <c r="B1020" s="2" t="s">
        <v>808</v>
      </c>
      <c r="C1020" s="3">
        <v>0</v>
      </c>
      <c r="D1020" s="3">
        <v>0</v>
      </c>
      <c r="E1020" s="3">
        <v>0</v>
      </c>
      <c r="F1020" s="3">
        <v>0</v>
      </c>
      <c r="G1020" s="5">
        <v>0</v>
      </c>
    </row>
    <row r="1021" spans="1:8" ht="15" customHeight="1" x14ac:dyDescent="0.25">
      <c r="A1021" s="2" t="s">
        <v>809</v>
      </c>
      <c r="B1021" s="2" t="s">
        <v>810</v>
      </c>
      <c r="C1021" s="3">
        <v>0</v>
      </c>
      <c r="D1021" s="3">
        <v>0</v>
      </c>
      <c r="E1021" s="3">
        <v>0</v>
      </c>
      <c r="F1021" s="3">
        <v>0</v>
      </c>
      <c r="G1021" s="5">
        <v>0</v>
      </c>
    </row>
    <row r="1022" spans="1:8" x14ac:dyDescent="0.25">
      <c r="A1022" s="2" t="s">
        <v>811</v>
      </c>
      <c r="B1022" s="2" t="s">
        <v>812</v>
      </c>
      <c r="C1022" s="3">
        <v>0</v>
      </c>
      <c r="D1022" s="3">
        <v>0</v>
      </c>
      <c r="E1022" s="3">
        <v>0</v>
      </c>
      <c r="F1022" s="3">
        <v>0</v>
      </c>
      <c r="G1022" s="5">
        <v>0</v>
      </c>
    </row>
    <row r="1023" spans="1:8" x14ac:dyDescent="0.25">
      <c r="A1023" s="2" t="s">
        <v>813</v>
      </c>
      <c r="B1023" s="2" t="s">
        <v>814</v>
      </c>
      <c r="C1023" s="3">
        <v>0</v>
      </c>
      <c r="D1023" s="3">
        <v>0</v>
      </c>
      <c r="E1023" s="3">
        <v>0</v>
      </c>
      <c r="F1023" s="3">
        <v>0</v>
      </c>
      <c r="G1023" s="5">
        <v>0</v>
      </c>
    </row>
    <row r="1024" spans="1:8" ht="15" customHeight="1" x14ac:dyDescent="0.25">
      <c r="A1024" s="2" t="s">
        <v>815</v>
      </c>
      <c r="B1024" s="2" t="s">
        <v>816</v>
      </c>
      <c r="C1024" s="3">
        <v>0</v>
      </c>
      <c r="D1024" s="3">
        <v>704.79</v>
      </c>
      <c r="E1024" s="3">
        <v>1436.16</v>
      </c>
      <c r="F1024" s="3">
        <v>0</v>
      </c>
      <c r="G1024" s="5">
        <v>0</v>
      </c>
    </row>
    <row r="1025" spans="1:8" x14ac:dyDescent="0.25">
      <c r="A1025" s="2" t="s">
        <v>817</v>
      </c>
      <c r="B1025" s="2" t="s">
        <v>818</v>
      </c>
      <c r="C1025" s="3">
        <v>0</v>
      </c>
      <c r="D1025" s="3">
        <v>168.8</v>
      </c>
      <c r="E1025" s="3">
        <v>168.8</v>
      </c>
      <c r="F1025" s="3">
        <v>500000</v>
      </c>
      <c r="G1025" s="5">
        <v>500000</v>
      </c>
      <c r="H1025" t="s">
        <v>3427</v>
      </c>
    </row>
    <row r="1026" spans="1:8" ht="15" customHeight="1" x14ac:dyDescent="0.25">
      <c r="A1026" s="2" t="s">
        <v>819</v>
      </c>
      <c r="B1026" s="2" t="s">
        <v>820</v>
      </c>
      <c r="C1026" s="3">
        <v>85895.94</v>
      </c>
      <c r="D1026" s="3">
        <v>9262</v>
      </c>
      <c r="E1026" s="3">
        <v>26174.1</v>
      </c>
      <c r="F1026" s="3">
        <v>0</v>
      </c>
      <c r="G1026" s="5">
        <v>0</v>
      </c>
    </row>
    <row r="1027" spans="1:8" ht="15" customHeight="1" x14ac:dyDescent="0.25">
      <c r="A1027" s="2" t="s">
        <v>821</v>
      </c>
      <c r="B1027" s="2" t="s">
        <v>822</v>
      </c>
      <c r="C1027" s="3">
        <v>0</v>
      </c>
      <c r="D1027" s="3">
        <v>0</v>
      </c>
      <c r="E1027" s="3">
        <v>0</v>
      </c>
      <c r="F1027" s="3">
        <v>100000</v>
      </c>
      <c r="G1027" s="5">
        <v>0</v>
      </c>
    </row>
    <row r="1028" spans="1:8" ht="15" customHeight="1" x14ac:dyDescent="0.25">
      <c r="A1028" s="2" t="s">
        <v>823</v>
      </c>
      <c r="B1028" s="2" t="s">
        <v>824</v>
      </c>
      <c r="C1028" s="3">
        <v>0</v>
      </c>
      <c r="D1028" s="3">
        <v>0</v>
      </c>
      <c r="E1028" s="3">
        <v>0</v>
      </c>
      <c r="F1028" s="3">
        <v>0</v>
      </c>
      <c r="G1028" s="5">
        <v>0</v>
      </c>
    </row>
    <row r="1029" spans="1:8" x14ac:dyDescent="0.25">
      <c r="A1029" s="2" t="s">
        <v>825</v>
      </c>
      <c r="B1029" s="2" t="s">
        <v>826</v>
      </c>
      <c r="C1029" s="3">
        <v>0</v>
      </c>
      <c r="D1029" s="3">
        <v>0</v>
      </c>
      <c r="E1029" s="3">
        <v>0</v>
      </c>
      <c r="F1029" s="3">
        <v>0</v>
      </c>
      <c r="G1029" s="5">
        <v>0</v>
      </c>
    </row>
    <row r="1030" spans="1:8" x14ac:dyDescent="0.25">
      <c r="A1030" s="2" t="s">
        <v>827</v>
      </c>
      <c r="B1030" s="2" t="s">
        <v>828</v>
      </c>
      <c r="C1030" s="3">
        <v>0</v>
      </c>
      <c r="D1030" s="3">
        <v>0</v>
      </c>
      <c r="E1030" s="3">
        <v>0</v>
      </c>
      <c r="F1030" s="3">
        <v>0</v>
      </c>
      <c r="G1030" s="5">
        <v>0</v>
      </c>
    </row>
    <row r="1031" spans="1:8" x14ac:dyDescent="0.25">
      <c r="A1031" s="2" t="s">
        <v>829</v>
      </c>
      <c r="B1031" s="2" t="s">
        <v>830</v>
      </c>
      <c r="C1031" s="3">
        <v>0</v>
      </c>
      <c r="D1031" s="3">
        <v>0</v>
      </c>
      <c r="E1031" s="3">
        <v>0</v>
      </c>
      <c r="F1031" s="3">
        <v>0</v>
      </c>
      <c r="G1031" s="5">
        <v>0</v>
      </c>
    </row>
    <row r="1032" spans="1:8" x14ac:dyDescent="0.25">
      <c r="A1032" s="2" t="s">
        <v>831</v>
      </c>
      <c r="B1032" s="2" t="s">
        <v>832</v>
      </c>
      <c r="C1032" s="3">
        <v>0</v>
      </c>
      <c r="D1032" s="3">
        <v>0</v>
      </c>
      <c r="E1032" s="3">
        <v>0</v>
      </c>
      <c r="F1032" s="3">
        <v>0</v>
      </c>
      <c r="G1032" s="5">
        <v>0</v>
      </c>
    </row>
    <row r="1033" spans="1:8" ht="15" customHeight="1" x14ac:dyDescent="0.25">
      <c r="A1033" s="2" t="s">
        <v>833</v>
      </c>
      <c r="B1033" s="2" t="s">
        <v>834</v>
      </c>
      <c r="C1033" s="3">
        <v>0</v>
      </c>
      <c r="D1033" s="3">
        <v>0</v>
      </c>
      <c r="E1033" s="3">
        <v>0</v>
      </c>
      <c r="F1033" s="3">
        <v>0</v>
      </c>
      <c r="G1033" s="5">
        <v>0</v>
      </c>
    </row>
    <row r="1034" spans="1:8" ht="15" customHeight="1" x14ac:dyDescent="0.25">
      <c r="A1034" s="2" t="s">
        <v>835</v>
      </c>
      <c r="B1034" s="2" t="s">
        <v>836</v>
      </c>
      <c r="C1034" s="3">
        <v>0</v>
      </c>
      <c r="D1034" s="3">
        <v>0</v>
      </c>
      <c r="E1034" s="3">
        <v>0</v>
      </c>
      <c r="F1034" s="3">
        <v>0</v>
      </c>
      <c r="G1034" s="5">
        <v>0</v>
      </c>
    </row>
    <row r="1035" spans="1:8" x14ac:dyDescent="0.25">
      <c r="A1035" s="2" t="s">
        <v>837</v>
      </c>
      <c r="B1035" s="2" t="s">
        <v>838</v>
      </c>
      <c r="C1035" s="3">
        <v>33003.56</v>
      </c>
      <c r="D1035" s="3">
        <v>17094.310000000001</v>
      </c>
      <c r="E1035" s="3">
        <v>25584.17</v>
      </c>
      <c r="F1035" s="3">
        <v>0</v>
      </c>
      <c r="G1035" s="5">
        <v>50000</v>
      </c>
    </row>
    <row r="1036" spans="1:8" x14ac:dyDescent="0.25">
      <c r="A1036" s="2" t="s">
        <v>839</v>
      </c>
      <c r="B1036" s="2" t="s">
        <v>840</v>
      </c>
      <c r="C1036" s="3">
        <v>0</v>
      </c>
      <c r="D1036" s="3">
        <v>0</v>
      </c>
      <c r="E1036" s="3">
        <v>0</v>
      </c>
      <c r="F1036" s="3">
        <v>0</v>
      </c>
      <c r="G1036" s="5">
        <v>0</v>
      </c>
    </row>
    <row r="1037" spans="1:8" x14ac:dyDescent="0.25">
      <c r="A1037" s="2" t="s">
        <v>841</v>
      </c>
      <c r="B1037" s="2" t="s">
        <v>842</v>
      </c>
      <c r="C1037" s="3">
        <v>0</v>
      </c>
      <c r="D1037" s="3">
        <v>0</v>
      </c>
      <c r="E1037" s="3">
        <v>0</v>
      </c>
      <c r="F1037" s="3">
        <v>0</v>
      </c>
      <c r="G1037" s="5">
        <v>0</v>
      </c>
    </row>
    <row r="1038" spans="1:8" ht="15" customHeight="1" x14ac:dyDescent="0.25">
      <c r="A1038" s="2" t="s">
        <v>843</v>
      </c>
      <c r="B1038" s="2" t="s">
        <v>844</v>
      </c>
      <c r="C1038" s="3">
        <v>0</v>
      </c>
      <c r="D1038" s="3">
        <v>0</v>
      </c>
      <c r="E1038" s="3">
        <v>0</v>
      </c>
      <c r="F1038" s="3">
        <v>0</v>
      </c>
      <c r="G1038" s="5">
        <v>0</v>
      </c>
    </row>
    <row r="1039" spans="1:8" ht="15" customHeight="1" x14ac:dyDescent="0.25">
      <c r="A1039" s="2" t="s">
        <v>845</v>
      </c>
      <c r="B1039" s="2" t="s">
        <v>846</v>
      </c>
      <c r="C1039" s="3">
        <v>0</v>
      </c>
      <c r="D1039" s="3">
        <v>0</v>
      </c>
      <c r="E1039" s="3">
        <v>0</v>
      </c>
      <c r="F1039" s="3">
        <v>0</v>
      </c>
      <c r="G1039" s="5">
        <v>0</v>
      </c>
    </row>
    <row r="1040" spans="1:8" ht="15" customHeight="1" x14ac:dyDescent="0.25">
      <c r="A1040" s="2" t="s">
        <v>847</v>
      </c>
      <c r="B1040" s="2" t="s">
        <v>848</v>
      </c>
      <c r="C1040" s="3">
        <v>0</v>
      </c>
      <c r="D1040" s="3">
        <v>0</v>
      </c>
      <c r="E1040" s="3">
        <v>0</v>
      </c>
      <c r="F1040" s="3">
        <v>0</v>
      </c>
      <c r="G1040" s="5">
        <v>0</v>
      </c>
    </row>
    <row r="1041" spans="1:8" ht="15" customHeight="1" x14ac:dyDescent="0.25">
      <c r="A1041" s="2" t="s">
        <v>849</v>
      </c>
      <c r="B1041" s="2" t="s">
        <v>850</v>
      </c>
      <c r="C1041" s="3">
        <v>0</v>
      </c>
      <c r="D1041" s="3">
        <v>0</v>
      </c>
      <c r="E1041" s="3">
        <v>0</v>
      </c>
      <c r="F1041" s="3">
        <v>0</v>
      </c>
      <c r="G1041" s="5">
        <v>0</v>
      </c>
    </row>
    <row r="1042" spans="1:8" ht="15" customHeight="1" x14ac:dyDescent="0.25">
      <c r="A1042" s="2" t="s">
        <v>851</v>
      </c>
      <c r="B1042" s="2" t="s">
        <v>852</v>
      </c>
      <c r="C1042" s="3">
        <v>0</v>
      </c>
      <c r="D1042" s="3">
        <v>0</v>
      </c>
      <c r="E1042" s="3">
        <v>0</v>
      </c>
      <c r="F1042" s="3">
        <v>0</v>
      </c>
      <c r="G1042" s="5">
        <v>0</v>
      </c>
    </row>
    <row r="1043" spans="1:8" ht="15" customHeight="1" x14ac:dyDescent="0.25">
      <c r="A1043" s="2" t="s">
        <v>853</v>
      </c>
      <c r="B1043" s="2" t="s">
        <v>854</v>
      </c>
      <c r="C1043" s="3">
        <v>94059.75</v>
      </c>
      <c r="D1043" s="3">
        <v>39109.519999999997</v>
      </c>
      <c r="E1043" s="3">
        <v>110108.64</v>
      </c>
      <c r="F1043" s="3">
        <v>150000</v>
      </c>
      <c r="G1043" s="5">
        <v>0</v>
      </c>
    </row>
    <row r="1044" spans="1:8" ht="15" customHeight="1" x14ac:dyDescent="0.25">
      <c r="A1044" s="2" t="s">
        <v>855</v>
      </c>
      <c r="B1044" s="2" t="s">
        <v>856</v>
      </c>
      <c r="C1044" s="3">
        <v>0</v>
      </c>
      <c r="D1044" s="3">
        <v>0</v>
      </c>
      <c r="E1044" s="3">
        <v>0</v>
      </c>
      <c r="F1044" s="3">
        <v>1600000</v>
      </c>
      <c r="G1044" s="5">
        <v>2400000</v>
      </c>
      <c r="H1044" t="s">
        <v>3428</v>
      </c>
    </row>
    <row r="1045" spans="1:8" ht="15" customHeight="1" x14ac:dyDescent="0.25">
      <c r="A1045" s="2" t="s">
        <v>857</v>
      </c>
      <c r="B1045" s="2" t="s">
        <v>858</v>
      </c>
      <c r="C1045" s="3">
        <v>0</v>
      </c>
      <c r="D1045" s="3">
        <v>0</v>
      </c>
      <c r="E1045" s="3">
        <v>0</v>
      </c>
      <c r="F1045" s="3">
        <v>0</v>
      </c>
      <c r="G1045" s="5">
        <v>0</v>
      </c>
    </row>
    <row r="1046" spans="1:8" ht="15" customHeight="1" x14ac:dyDescent="0.25">
      <c r="A1046" s="2" t="s">
        <v>859</v>
      </c>
      <c r="B1046" s="2" t="s">
        <v>860</v>
      </c>
      <c r="C1046" s="3">
        <v>0</v>
      </c>
      <c r="D1046" s="3">
        <v>0</v>
      </c>
      <c r="E1046" s="3">
        <v>0</v>
      </c>
      <c r="F1046" s="3">
        <v>0</v>
      </c>
      <c r="G1046" s="5">
        <v>0</v>
      </c>
    </row>
    <row r="1047" spans="1:8" ht="15" customHeight="1" x14ac:dyDescent="0.25">
      <c r="A1047" s="2" t="s">
        <v>861</v>
      </c>
      <c r="B1047" s="2" t="s">
        <v>862</v>
      </c>
      <c r="C1047" s="3">
        <v>31064.639999999999</v>
      </c>
      <c r="D1047" s="3">
        <v>6972.15</v>
      </c>
      <c r="E1047" s="3">
        <v>22274.13</v>
      </c>
      <c r="F1047" s="3">
        <v>50000</v>
      </c>
      <c r="G1047" s="5">
        <v>50000</v>
      </c>
    </row>
    <row r="1048" spans="1:8" ht="15" customHeight="1" x14ac:dyDescent="0.25">
      <c r="A1048" s="2" t="s">
        <v>863</v>
      </c>
      <c r="B1048" s="2" t="s">
        <v>864</v>
      </c>
      <c r="C1048" s="3">
        <v>0</v>
      </c>
      <c r="D1048" s="3">
        <v>0</v>
      </c>
      <c r="E1048" s="3">
        <v>0</v>
      </c>
      <c r="F1048" s="3">
        <v>0</v>
      </c>
      <c r="G1048" s="5">
        <v>0</v>
      </c>
    </row>
    <row r="1049" spans="1:8" ht="15" customHeight="1" x14ac:dyDescent="0.25">
      <c r="A1049" s="2" t="s">
        <v>865</v>
      </c>
      <c r="B1049" s="2" t="s">
        <v>866</v>
      </c>
      <c r="C1049" s="3">
        <v>0</v>
      </c>
      <c r="D1049" s="3">
        <v>0</v>
      </c>
      <c r="E1049" s="3">
        <v>0</v>
      </c>
      <c r="F1049" s="3">
        <v>250000</v>
      </c>
      <c r="G1049" s="5">
        <v>500000</v>
      </c>
    </row>
    <row r="1050" spans="1:8" ht="15" customHeight="1" x14ac:dyDescent="0.25">
      <c r="A1050" s="2" t="s">
        <v>867</v>
      </c>
      <c r="B1050" s="2" t="s">
        <v>868</v>
      </c>
      <c r="C1050" s="3">
        <v>0</v>
      </c>
      <c r="D1050" s="3">
        <v>0</v>
      </c>
      <c r="E1050" s="3">
        <v>0</v>
      </c>
      <c r="F1050" s="3">
        <v>0</v>
      </c>
      <c r="G1050" s="5">
        <v>0</v>
      </c>
    </row>
    <row r="1051" spans="1:8" ht="15" customHeight="1" x14ac:dyDescent="0.25">
      <c r="A1051" s="2" t="s">
        <v>869</v>
      </c>
      <c r="B1051" s="2" t="s">
        <v>870</v>
      </c>
      <c r="C1051" s="3">
        <v>0</v>
      </c>
      <c r="D1051" s="3">
        <v>0</v>
      </c>
      <c r="E1051" s="3">
        <v>0</v>
      </c>
      <c r="F1051" s="3">
        <v>0</v>
      </c>
      <c r="G1051" s="5">
        <v>0</v>
      </c>
    </row>
    <row r="1052" spans="1:8" ht="15" customHeight="1" x14ac:dyDescent="0.25">
      <c r="A1052" s="2" t="s">
        <v>871</v>
      </c>
      <c r="B1052" s="2" t="s">
        <v>872</v>
      </c>
      <c r="C1052" s="3">
        <v>0</v>
      </c>
      <c r="D1052" s="3">
        <v>5892.83</v>
      </c>
      <c r="E1052" s="3">
        <v>5892.83</v>
      </c>
      <c r="F1052" s="3">
        <v>0</v>
      </c>
      <c r="G1052" s="5">
        <v>0</v>
      </c>
    </row>
    <row r="1053" spans="1:8" ht="15" customHeight="1" x14ac:dyDescent="0.25">
      <c r="A1053" s="2" t="s">
        <v>873</v>
      </c>
      <c r="B1053" s="2" t="s">
        <v>874</v>
      </c>
      <c r="C1053" s="3">
        <v>23710.17</v>
      </c>
      <c r="D1053" s="3">
        <v>776.88</v>
      </c>
      <c r="E1053" s="3">
        <v>776.88</v>
      </c>
      <c r="F1053" s="3">
        <v>150000</v>
      </c>
      <c r="G1053" s="5">
        <v>100000</v>
      </c>
    </row>
    <row r="1054" spans="1:8" ht="15" customHeight="1" x14ac:dyDescent="0.25">
      <c r="A1054" s="2" t="s">
        <v>875</v>
      </c>
      <c r="B1054" s="2" t="s">
        <v>876</v>
      </c>
      <c r="C1054" s="3">
        <v>6407.5</v>
      </c>
      <c r="D1054" s="3">
        <v>3617.5</v>
      </c>
      <c r="E1054" s="3">
        <v>3617.5</v>
      </c>
      <c r="F1054" s="3">
        <v>100000</v>
      </c>
      <c r="G1054" s="5">
        <v>50000</v>
      </c>
    </row>
    <row r="1055" spans="1:8" ht="15" customHeight="1" x14ac:dyDescent="0.25">
      <c r="A1055" s="2" t="s">
        <v>877</v>
      </c>
      <c r="B1055" s="2" t="s">
        <v>878</v>
      </c>
      <c r="C1055" s="3">
        <v>0</v>
      </c>
      <c r="D1055" s="3">
        <v>0</v>
      </c>
      <c r="E1055" s="3">
        <v>0</v>
      </c>
      <c r="F1055" s="3">
        <v>0</v>
      </c>
      <c r="G1055" s="5">
        <v>0</v>
      </c>
    </row>
    <row r="1056" spans="1:8" ht="15" customHeight="1" x14ac:dyDescent="0.25">
      <c r="A1056" s="2" t="s">
        <v>879</v>
      </c>
      <c r="B1056" s="2" t="s">
        <v>880</v>
      </c>
      <c r="C1056" s="3">
        <v>0</v>
      </c>
      <c r="D1056" s="3">
        <v>0</v>
      </c>
      <c r="E1056" s="3">
        <v>0</v>
      </c>
      <c r="F1056" s="3">
        <v>0</v>
      </c>
      <c r="G1056" s="5">
        <v>0</v>
      </c>
    </row>
    <row r="1057" spans="1:7" ht="15" customHeight="1" x14ac:dyDescent="0.25">
      <c r="A1057" s="1" t="s">
        <v>881</v>
      </c>
      <c r="B1057" s="1" t="s">
        <v>2</v>
      </c>
      <c r="C1057" s="4">
        <v>274141.56</v>
      </c>
      <c r="D1057" s="4">
        <v>83598.78</v>
      </c>
      <c r="E1057" s="4">
        <f>SUM(E1020:E1056)</f>
        <v>196033.21</v>
      </c>
      <c r="F1057" s="6">
        <f>SUM(F1020:F1056)</f>
        <v>2900000</v>
      </c>
      <c r="G1057" s="6">
        <f>SUM(G1020:G1056)</f>
        <v>3650000</v>
      </c>
    </row>
    <row r="1058" spans="1:7" x14ac:dyDescent="0.25">
      <c r="A1058" s="1" t="s">
        <v>2</v>
      </c>
      <c r="B1058" s="1" t="s">
        <v>2</v>
      </c>
      <c r="C1058" s="1" t="s">
        <v>2</v>
      </c>
      <c r="D1058" s="1" t="s">
        <v>2</v>
      </c>
      <c r="E1058" s="1"/>
      <c r="F1058" s="1" t="s">
        <v>2</v>
      </c>
      <c r="G1058" s="1" t="s">
        <v>2</v>
      </c>
    </row>
    <row r="1059" spans="1:7" x14ac:dyDescent="0.25">
      <c r="A1059" s="1" t="s">
        <v>882</v>
      </c>
      <c r="B1059" s="1" t="s">
        <v>2</v>
      </c>
    </row>
    <row r="1060" spans="1:7" ht="15" customHeight="1" x14ac:dyDescent="0.25">
      <c r="A1060" s="2" t="s">
        <v>883</v>
      </c>
      <c r="B1060" s="2" t="s">
        <v>108</v>
      </c>
      <c r="C1060" s="3">
        <v>27213.47</v>
      </c>
      <c r="D1060" s="3">
        <v>5416.25</v>
      </c>
      <c r="E1060" s="3">
        <v>15027.07</v>
      </c>
      <c r="F1060" s="3">
        <v>9328.48</v>
      </c>
      <c r="G1060" s="5">
        <f>F1060*1.055</f>
        <v>9841.5463999999993</v>
      </c>
    </row>
    <row r="1061" spans="1:7" ht="15" customHeight="1" x14ac:dyDescent="0.25">
      <c r="A1061" s="2" t="s">
        <v>884</v>
      </c>
      <c r="B1061" s="2" t="s">
        <v>29</v>
      </c>
      <c r="C1061" s="3">
        <v>7088.95</v>
      </c>
      <c r="D1061" s="3">
        <v>1650.28</v>
      </c>
      <c r="E1061" s="3">
        <v>4665.12</v>
      </c>
      <c r="F1061" s="3">
        <v>2920.61</v>
      </c>
      <c r="G1061" s="5">
        <f t="shared" ref="G1061:G1065" si="21">F1061*1.055</f>
        <v>3081.2435500000001</v>
      </c>
    </row>
    <row r="1062" spans="1:7" ht="15" customHeight="1" x14ac:dyDescent="0.25">
      <c r="A1062" s="2" t="s">
        <v>885</v>
      </c>
      <c r="B1062" s="2" t="s">
        <v>128</v>
      </c>
      <c r="C1062" s="3">
        <v>669.4</v>
      </c>
      <c r="D1062" s="3">
        <v>92.7</v>
      </c>
      <c r="E1062" s="3">
        <v>293.5</v>
      </c>
      <c r="F1062" s="3">
        <v>236.71</v>
      </c>
      <c r="G1062" s="5">
        <f t="shared" si="21"/>
        <v>249.72905</v>
      </c>
    </row>
    <row r="1063" spans="1:7" ht="15" customHeight="1" x14ac:dyDescent="0.25">
      <c r="A1063" s="2" t="s">
        <v>886</v>
      </c>
      <c r="B1063" s="2" t="s">
        <v>33</v>
      </c>
      <c r="C1063" s="3">
        <v>3785.32</v>
      </c>
      <c r="D1063" s="3">
        <v>601.05999999999995</v>
      </c>
      <c r="E1063" s="3">
        <v>1744.64</v>
      </c>
      <c r="F1063" s="3">
        <v>1097.77</v>
      </c>
      <c r="G1063" s="5">
        <f t="shared" si="21"/>
        <v>1158.14735</v>
      </c>
    </row>
    <row r="1064" spans="1:7" ht="15" customHeight="1" x14ac:dyDescent="0.25">
      <c r="A1064" s="2" t="s">
        <v>887</v>
      </c>
      <c r="B1064" s="2" t="s">
        <v>11</v>
      </c>
      <c r="C1064" s="3">
        <v>2051.6999999999998</v>
      </c>
      <c r="D1064" s="3">
        <v>403.24</v>
      </c>
      <c r="E1064" s="3">
        <v>1115.74</v>
      </c>
      <c r="F1064" s="3">
        <v>713.63</v>
      </c>
      <c r="G1064" s="5">
        <f t="shared" si="21"/>
        <v>752.87964999999997</v>
      </c>
    </row>
    <row r="1065" spans="1:7" ht="15" customHeight="1" x14ac:dyDescent="0.25">
      <c r="A1065" s="2" t="s">
        <v>888</v>
      </c>
      <c r="B1065" s="2" t="s">
        <v>13</v>
      </c>
      <c r="C1065" s="3">
        <v>39.94</v>
      </c>
      <c r="D1065" s="3">
        <v>11.76</v>
      </c>
      <c r="E1065" s="3">
        <v>31.93</v>
      </c>
      <c r="F1065" s="3">
        <v>13.71</v>
      </c>
      <c r="G1065" s="5">
        <f t="shared" si="21"/>
        <v>14.46405</v>
      </c>
    </row>
    <row r="1066" spans="1:7" ht="15" customHeight="1" x14ac:dyDescent="0.25">
      <c r="A1066" s="2" t="s">
        <v>889</v>
      </c>
      <c r="B1066" s="2" t="s">
        <v>890</v>
      </c>
      <c r="C1066" s="3">
        <v>39.54</v>
      </c>
      <c r="D1066" s="3">
        <v>8.6</v>
      </c>
      <c r="E1066" s="3">
        <v>10.93</v>
      </c>
      <c r="F1066" s="3">
        <v>34.729999999999997</v>
      </c>
      <c r="G1066" s="5">
        <v>50</v>
      </c>
    </row>
    <row r="1067" spans="1:7" ht="15" customHeight="1" x14ac:dyDescent="0.25">
      <c r="A1067" s="2" t="s">
        <v>891</v>
      </c>
      <c r="B1067" s="2" t="s">
        <v>39</v>
      </c>
      <c r="C1067" s="3">
        <v>4199.01</v>
      </c>
      <c r="D1067" s="3">
        <v>1381.48</v>
      </c>
      <c r="E1067" s="3">
        <v>1446.63</v>
      </c>
      <c r="F1067" s="3">
        <v>5000</v>
      </c>
      <c r="G1067" s="5">
        <v>5000</v>
      </c>
    </row>
    <row r="1068" spans="1:7" ht="15" customHeight="1" x14ac:dyDescent="0.25">
      <c r="A1068" s="1" t="s">
        <v>892</v>
      </c>
      <c r="B1068" s="1" t="s">
        <v>2</v>
      </c>
      <c r="C1068" s="4">
        <v>45087.33</v>
      </c>
      <c r="D1068" s="4">
        <v>9565.3700000000008</v>
      </c>
      <c r="E1068" s="4">
        <f>SUM(E1060:E1067)</f>
        <v>24335.56</v>
      </c>
      <c r="F1068" s="6">
        <f>SUM(F1060:F1067)</f>
        <v>19345.64</v>
      </c>
      <c r="G1068" s="6">
        <f>SUM(G1060:G1067)</f>
        <v>20148.010049999997</v>
      </c>
    </row>
    <row r="1069" spans="1:7" x14ac:dyDescent="0.25">
      <c r="A1069" s="1" t="s">
        <v>2</v>
      </c>
      <c r="B1069" s="1" t="s">
        <v>2</v>
      </c>
      <c r="C1069" s="1" t="s">
        <v>2</v>
      </c>
      <c r="D1069" s="1" t="s">
        <v>2</v>
      </c>
      <c r="E1069" s="1"/>
      <c r="F1069" s="1" t="s">
        <v>2</v>
      </c>
      <c r="G1069" s="1" t="s">
        <v>2</v>
      </c>
    </row>
    <row r="1070" spans="1:7" ht="15" customHeight="1" x14ac:dyDescent="0.25">
      <c r="A1070" s="1" t="s">
        <v>893</v>
      </c>
      <c r="B1070" s="1" t="s">
        <v>2</v>
      </c>
    </row>
    <row r="1071" spans="1:7" ht="15" customHeight="1" x14ac:dyDescent="0.25">
      <c r="A1071" s="2" t="s">
        <v>894</v>
      </c>
      <c r="B1071" s="2" t="s">
        <v>108</v>
      </c>
      <c r="C1071" s="3">
        <v>89336.55</v>
      </c>
      <c r="D1071" s="3">
        <v>32144.57</v>
      </c>
      <c r="E1071" s="3">
        <v>56642.96</v>
      </c>
      <c r="F1071" s="3">
        <v>197189.49</v>
      </c>
      <c r="G1071" s="5">
        <f>F1071*1.055</f>
        <v>208034.91194999998</v>
      </c>
    </row>
    <row r="1072" spans="1:7" ht="15" customHeight="1" x14ac:dyDescent="0.25">
      <c r="A1072" s="2" t="s">
        <v>895</v>
      </c>
      <c r="B1072" s="2" t="s">
        <v>652</v>
      </c>
      <c r="C1072" s="3">
        <v>27206.35</v>
      </c>
      <c r="D1072" s="3">
        <v>13591.92</v>
      </c>
      <c r="E1072" s="3">
        <v>18922.52</v>
      </c>
      <c r="F1072" s="3">
        <v>64513.4</v>
      </c>
      <c r="G1072" s="5">
        <f t="shared" ref="G1072:G1077" si="22">F1072*1.055</f>
        <v>68061.637000000002</v>
      </c>
    </row>
    <row r="1073" spans="1:7" ht="15" customHeight="1" x14ac:dyDescent="0.25">
      <c r="A1073" s="2" t="s">
        <v>896</v>
      </c>
      <c r="B1073" s="2" t="s">
        <v>29</v>
      </c>
      <c r="C1073" s="3">
        <v>21684.52</v>
      </c>
      <c r="D1073" s="3">
        <v>8630.83</v>
      </c>
      <c r="E1073" s="3">
        <v>14132.53</v>
      </c>
      <c r="F1073" s="3">
        <v>43420.65</v>
      </c>
      <c r="G1073" s="5">
        <f t="shared" si="22"/>
        <v>45808.785749999995</v>
      </c>
    </row>
    <row r="1074" spans="1:7" ht="15" customHeight="1" x14ac:dyDescent="0.25">
      <c r="A1074" s="2" t="s">
        <v>897</v>
      </c>
      <c r="B1074" s="2" t="s">
        <v>128</v>
      </c>
      <c r="C1074" s="3">
        <v>772.19</v>
      </c>
      <c r="D1074" s="3">
        <v>168.72</v>
      </c>
      <c r="E1074" s="3">
        <v>346.33</v>
      </c>
      <c r="F1074" s="3">
        <v>2153.84</v>
      </c>
      <c r="G1074" s="5">
        <f t="shared" si="22"/>
        <v>2272.3011999999999</v>
      </c>
    </row>
    <row r="1075" spans="1:7" ht="15" customHeight="1" x14ac:dyDescent="0.25">
      <c r="A1075" s="2" t="s">
        <v>898</v>
      </c>
      <c r="B1075" s="2" t="s">
        <v>33</v>
      </c>
      <c r="C1075" s="3">
        <v>15828.95</v>
      </c>
      <c r="D1075" s="3">
        <v>5245.07</v>
      </c>
      <c r="E1075" s="3">
        <v>9071.7900000000009</v>
      </c>
      <c r="F1075" s="3">
        <v>32785.800000000003</v>
      </c>
      <c r="G1075" s="5">
        <f t="shared" si="22"/>
        <v>34589.019</v>
      </c>
    </row>
    <row r="1076" spans="1:7" ht="15" customHeight="1" x14ac:dyDescent="0.25">
      <c r="A1076" s="2" t="s">
        <v>899</v>
      </c>
      <c r="B1076" s="2" t="s">
        <v>11</v>
      </c>
      <c r="C1076" s="3">
        <v>8846.89</v>
      </c>
      <c r="D1076" s="3">
        <v>3472.37</v>
      </c>
      <c r="E1076" s="3">
        <v>5734.65</v>
      </c>
      <c r="F1076" s="3">
        <v>20020.27</v>
      </c>
      <c r="G1076" s="5">
        <f t="shared" si="22"/>
        <v>21121.384849999999</v>
      </c>
    </row>
    <row r="1077" spans="1:7" ht="15" customHeight="1" x14ac:dyDescent="0.25">
      <c r="A1077" s="2" t="s">
        <v>900</v>
      </c>
      <c r="B1077" s="2" t="s">
        <v>13</v>
      </c>
      <c r="C1077" s="3">
        <v>171</v>
      </c>
      <c r="D1077" s="3">
        <v>92.6</v>
      </c>
      <c r="E1077" s="3">
        <v>156.84</v>
      </c>
      <c r="F1077" s="3">
        <v>384.7</v>
      </c>
      <c r="G1077" s="5">
        <f t="shared" si="22"/>
        <v>405.85849999999999</v>
      </c>
    </row>
    <row r="1078" spans="1:7" ht="15" customHeight="1" x14ac:dyDescent="0.25">
      <c r="A1078" s="2" t="s">
        <v>901</v>
      </c>
      <c r="B1078" s="2" t="s">
        <v>286</v>
      </c>
      <c r="C1078" s="3">
        <v>192</v>
      </c>
      <c r="D1078" s="3">
        <v>0</v>
      </c>
      <c r="E1078" s="3">
        <v>0</v>
      </c>
      <c r="F1078" s="3">
        <v>440</v>
      </c>
      <c r="G1078" s="5">
        <v>250</v>
      </c>
    </row>
    <row r="1079" spans="1:7" ht="15" customHeight="1" x14ac:dyDescent="0.25">
      <c r="A1079" s="2" t="s">
        <v>902</v>
      </c>
      <c r="B1079" s="2" t="s">
        <v>37</v>
      </c>
      <c r="C1079" s="3">
        <v>1319.24</v>
      </c>
      <c r="D1079" s="3">
        <v>159.55000000000001</v>
      </c>
      <c r="E1079" s="3">
        <v>620.84</v>
      </c>
      <c r="F1079" s="3">
        <v>1300</v>
      </c>
      <c r="G1079" s="5">
        <v>1500</v>
      </c>
    </row>
    <row r="1080" spans="1:7" ht="15" customHeight="1" x14ac:dyDescent="0.25">
      <c r="A1080" s="2" t="s">
        <v>903</v>
      </c>
      <c r="B1080" s="2" t="s">
        <v>39</v>
      </c>
      <c r="C1080" s="3">
        <v>0</v>
      </c>
      <c r="D1080" s="3">
        <v>0</v>
      </c>
      <c r="E1080" s="3">
        <v>0</v>
      </c>
      <c r="F1080" s="3">
        <v>0</v>
      </c>
      <c r="G1080" s="5">
        <v>0</v>
      </c>
    </row>
    <row r="1081" spans="1:7" ht="15" customHeight="1" x14ac:dyDescent="0.25">
      <c r="A1081" s="2" t="s">
        <v>904</v>
      </c>
      <c r="B1081" s="2" t="s">
        <v>905</v>
      </c>
      <c r="C1081" s="3">
        <v>240.62</v>
      </c>
      <c r="D1081" s="3">
        <v>0</v>
      </c>
      <c r="E1081" s="3">
        <v>0</v>
      </c>
      <c r="F1081" s="3">
        <v>1000</v>
      </c>
      <c r="G1081" s="5">
        <v>1000</v>
      </c>
    </row>
    <row r="1082" spans="1:7" ht="15" customHeight="1" x14ac:dyDescent="0.25">
      <c r="A1082" s="2" t="s">
        <v>906</v>
      </c>
      <c r="B1082" s="2" t="s">
        <v>907</v>
      </c>
      <c r="C1082" s="3">
        <v>135220.87</v>
      </c>
      <c r="D1082" s="3">
        <v>115036.77</v>
      </c>
      <c r="E1082" s="3">
        <v>115036.77</v>
      </c>
      <c r="F1082" s="3">
        <v>115036.77</v>
      </c>
      <c r="G1082" s="5">
        <v>135220.87</v>
      </c>
    </row>
    <row r="1083" spans="1:7" ht="15" customHeight="1" x14ac:dyDescent="0.25">
      <c r="A1083" s="2" t="s">
        <v>908</v>
      </c>
      <c r="B1083" s="2" t="s">
        <v>43</v>
      </c>
      <c r="C1083" s="3">
        <v>86909.759999999995</v>
      </c>
      <c r="D1083" s="3">
        <v>57524.02</v>
      </c>
      <c r="E1083" s="3">
        <v>57524.02</v>
      </c>
      <c r="F1083" s="3">
        <v>57524.02</v>
      </c>
      <c r="G1083" s="65">
        <v>86909.759999999995</v>
      </c>
    </row>
    <row r="1084" spans="1:7" x14ac:dyDescent="0.25">
      <c r="A1084" s="2" t="s">
        <v>909</v>
      </c>
      <c r="B1084" s="2" t="s">
        <v>15</v>
      </c>
      <c r="C1084" s="3">
        <v>6524.25</v>
      </c>
      <c r="D1084" s="3">
        <v>8419.81</v>
      </c>
      <c r="E1084" s="3">
        <v>8419.81</v>
      </c>
      <c r="F1084" s="3">
        <v>8419.81</v>
      </c>
      <c r="G1084" s="5">
        <v>8900</v>
      </c>
    </row>
    <row r="1085" spans="1:7" ht="15" customHeight="1" x14ac:dyDescent="0.25">
      <c r="A1085" s="2" t="s">
        <v>910</v>
      </c>
      <c r="B1085" s="2" t="s">
        <v>95</v>
      </c>
      <c r="C1085" s="3">
        <v>3168.97</v>
      </c>
      <c r="D1085" s="3">
        <v>1999</v>
      </c>
      <c r="E1085" s="3">
        <v>4783.7299999999996</v>
      </c>
      <c r="F1085" s="3">
        <v>50000</v>
      </c>
      <c r="G1085" s="5">
        <v>50000</v>
      </c>
    </row>
    <row r="1086" spans="1:7" ht="15" customHeight="1" x14ac:dyDescent="0.25">
      <c r="A1086" s="2" t="s">
        <v>911</v>
      </c>
      <c r="B1086" s="2" t="s">
        <v>912</v>
      </c>
      <c r="C1086" s="3">
        <v>14603.3</v>
      </c>
      <c r="D1086" s="3">
        <v>21906.25</v>
      </c>
      <c r="E1086" s="3">
        <v>75396.13</v>
      </c>
      <c r="F1086" s="3">
        <v>10000</v>
      </c>
      <c r="G1086" s="5">
        <v>25000</v>
      </c>
    </row>
    <row r="1087" spans="1:7" ht="15" customHeight="1" x14ac:dyDescent="0.25">
      <c r="A1087" s="2" t="s">
        <v>913</v>
      </c>
      <c r="B1087" s="2" t="s">
        <v>99</v>
      </c>
      <c r="C1087" s="3">
        <v>5367.47</v>
      </c>
      <c r="D1087" s="3">
        <v>1570.53</v>
      </c>
      <c r="E1087" s="3">
        <v>3155.36</v>
      </c>
      <c r="F1087" s="3">
        <v>4200</v>
      </c>
      <c r="G1087" s="5">
        <v>5500</v>
      </c>
    </row>
    <row r="1088" spans="1:7" ht="15" customHeight="1" x14ac:dyDescent="0.25">
      <c r="A1088" s="2" t="s">
        <v>914</v>
      </c>
      <c r="B1088" s="2" t="s">
        <v>17</v>
      </c>
      <c r="C1088" s="3">
        <v>0</v>
      </c>
      <c r="D1088" s="3">
        <v>0</v>
      </c>
      <c r="E1088" s="3">
        <v>0</v>
      </c>
      <c r="F1088" s="3">
        <v>500</v>
      </c>
      <c r="G1088" s="5">
        <v>500</v>
      </c>
    </row>
    <row r="1089" spans="1:7" ht="15" customHeight="1" x14ac:dyDescent="0.25">
      <c r="A1089" s="2" t="s">
        <v>915</v>
      </c>
      <c r="B1089" s="2" t="s">
        <v>144</v>
      </c>
      <c r="C1089" s="3">
        <v>602.91</v>
      </c>
      <c r="D1089" s="3">
        <v>0</v>
      </c>
      <c r="E1089" s="3">
        <v>0</v>
      </c>
      <c r="F1089" s="3">
        <v>1000</v>
      </c>
      <c r="G1089" s="5">
        <v>1000</v>
      </c>
    </row>
    <row r="1090" spans="1:7" ht="15" customHeight="1" x14ac:dyDescent="0.25">
      <c r="A1090" s="2" t="s">
        <v>916</v>
      </c>
      <c r="B1090" s="2" t="s">
        <v>917</v>
      </c>
      <c r="C1090" s="3">
        <v>1476.96</v>
      </c>
      <c r="D1090" s="3">
        <v>615.75</v>
      </c>
      <c r="E1090" s="3">
        <v>1108.3499999999999</v>
      </c>
      <c r="F1090" s="3">
        <v>1500</v>
      </c>
      <c r="G1090" s="5">
        <v>1800</v>
      </c>
    </row>
    <row r="1091" spans="1:7" ht="15" customHeight="1" x14ac:dyDescent="0.25">
      <c r="A1091" s="2" t="s">
        <v>918</v>
      </c>
      <c r="B1091" s="2" t="s">
        <v>62</v>
      </c>
      <c r="C1091" s="3">
        <v>621.24</v>
      </c>
      <c r="D1091" s="3">
        <v>237.51</v>
      </c>
      <c r="E1091" s="3">
        <v>444.17</v>
      </c>
      <c r="F1091" s="3">
        <v>900</v>
      </c>
      <c r="G1091" s="5">
        <v>900</v>
      </c>
    </row>
    <row r="1092" spans="1:7" ht="15" customHeight="1" x14ac:dyDescent="0.25">
      <c r="A1092" s="2" t="s">
        <v>919</v>
      </c>
      <c r="B1092" s="2" t="s">
        <v>64</v>
      </c>
      <c r="C1092" s="3">
        <v>398.71</v>
      </c>
      <c r="D1092" s="3">
        <v>6</v>
      </c>
      <c r="E1092" s="3">
        <v>141</v>
      </c>
      <c r="F1092" s="3">
        <v>1000</v>
      </c>
      <c r="G1092" s="5">
        <v>1000</v>
      </c>
    </row>
    <row r="1093" spans="1:7" ht="15" customHeight="1" x14ac:dyDescent="0.25">
      <c r="A1093" s="2" t="s">
        <v>920</v>
      </c>
      <c r="B1093" s="2" t="s">
        <v>66</v>
      </c>
      <c r="C1093" s="3">
        <v>100</v>
      </c>
      <c r="D1093" s="3">
        <v>0</v>
      </c>
      <c r="E1093" s="3">
        <v>550</v>
      </c>
      <c r="F1093" s="3">
        <v>2500</v>
      </c>
      <c r="G1093" s="5">
        <v>2500</v>
      </c>
    </row>
    <row r="1094" spans="1:7" ht="15" customHeight="1" x14ac:dyDescent="0.25">
      <c r="A1094" s="1" t="s">
        <v>921</v>
      </c>
      <c r="B1094" s="1" t="s">
        <v>2</v>
      </c>
      <c r="C1094" s="4">
        <v>420592.75</v>
      </c>
      <c r="D1094" s="4">
        <v>270821.27</v>
      </c>
      <c r="E1094" s="4">
        <f>SUM(E1071:E1093)</f>
        <v>372187.79999999993</v>
      </c>
      <c r="F1094" s="6">
        <f>SUM(F1071:F1093)</f>
        <v>615788.75000000012</v>
      </c>
      <c r="G1094" s="6">
        <f>SUM(G1071:G1093)</f>
        <v>702274.52824999986</v>
      </c>
    </row>
    <row r="1095" spans="1:7" x14ac:dyDescent="0.25">
      <c r="A1095" s="1" t="s">
        <v>2</v>
      </c>
      <c r="B1095" s="1" t="s">
        <v>2</v>
      </c>
      <c r="C1095" s="1" t="s">
        <v>2</v>
      </c>
      <c r="D1095" s="1" t="s">
        <v>2</v>
      </c>
      <c r="E1095" s="1"/>
      <c r="F1095" s="1" t="s">
        <v>2</v>
      </c>
      <c r="G1095" s="1" t="s">
        <v>2</v>
      </c>
    </row>
    <row r="1096" spans="1:7" ht="15" customHeight="1" x14ac:dyDescent="0.25">
      <c r="A1096" s="1" t="s">
        <v>922</v>
      </c>
      <c r="B1096" s="1" t="s">
        <v>2</v>
      </c>
    </row>
    <row r="1097" spans="1:7" ht="15" customHeight="1" x14ac:dyDescent="0.25">
      <c r="A1097" s="2" t="s">
        <v>923</v>
      </c>
      <c r="B1097" s="2" t="s">
        <v>924</v>
      </c>
      <c r="C1097" s="3">
        <v>3607.13</v>
      </c>
      <c r="D1097" s="3">
        <v>1121.42</v>
      </c>
      <c r="E1097" s="3">
        <v>7163.91</v>
      </c>
      <c r="F1097" s="3">
        <v>4822.95</v>
      </c>
      <c r="G1097" s="5">
        <f>F1097*1.055</f>
        <v>5088.2122499999996</v>
      </c>
    </row>
    <row r="1098" spans="1:7" ht="15" customHeight="1" x14ac:dyDescent="0.25">
      <c r="A1098" s="2" t="s">
        <v>925</v>
      </c>
      <c r="B1098" s="2" t="s">
        <v>108</v>
      </c>
      <c r="C1098" s="3">
        <v>172111.49</v>
      </c>
      <c r="D1098" s="3">
        <v>65909.69</v>
      </c>
      <c r="E1098" s="3">
        <v>138889.60000000001</v>
      </c>
      <c r="F1098" s="3">
        <v>159872.13</v>
      </c>
      <c r="G1098" s="5">
        <f t="shared" ref="G1098:G1108" si="23">F1098*1.055</f>
        <v>168665.09714999999</v>
      </c>
    </row>
    <row r="1099" spans="1:7" ht="15" customHeight="1" x14ac:dyDescent="0.25">
      <c r="A1099" s="2" t="s">
        <v>926</v>
      </c>
      <c r="B1099" s="2" t="s">
        <v>786</v>
      </c>
      <c r="C1099" s="3">
        <v>726.88</v>
      </c>
      <c r="D1099" s="3">
        <v>583.86</v>
      </c>
      <c r="E1099" s="3">
        <v>1653.46</v>
      </c>
      <c r="F1099" s="3">
        <v>0</v>
      </c>
      <c r="G1099" s="5">
        <f t="shared" si="23"/>
        <v>0</v>
      </c>
    </row>
    <row r="1100" spans="1:7" ht="15" customHeight="1" x14ac:dyDescent="0.25">
      <c r="A1100" s="2" t="s">
        <v>927</v>
      </c>
      <c r="B1100" s="2" t="s">
        <v>29</v>
      </c>
      <c r="C1100" s="3">
        <v>41608.400000000001</v>
      </c>
      <c r="D1100" s="3">
        <v>15739.1</v>
      </c>
      <c r="E1100" s="3">
        <v>35131.26</v>
      </c>
      <c r="F1100" s="3">
        <v>40783.11</v>
      </c>
      <c r="G1100" s="5">
        <f t="shared" si="23"/>
        <v>43026.181049999999</v>
      </c>
    </row>
    <row r="1101" spans="1:7" ht="15" customHeight="1" x14ac:dyDescent="0.25">
      <c r="A1101" s="2" t="s">
        <v>928</v>
      </c>
      <c r="B1101" s="2" t="s">
        <v>128</v>
      </c>
      <c r="C1101" s="3">
        <v>4223.33</v>
      </c>
      <c r="D1101" s="3">
        <v>1138.8</v>
      </c>
      <c r="E1101" s="3">
        <v>2860.15</v>
      </c>
      <c r="F1101" s="3">
        <v>4300.2700000000004</v>
      </c>
      <c r="G1101" s="5">
        <f t="shared" si="23"/>
        <v>4536.78485</v>
      </c>
    </row>
    <row r="1102" spans="1:7" ht="15" customHeight="1" x14ac:dyDescent="0.25">
      <c r="A1102" s="2" t="s">
        <v>929</v>
      </c>
      <c r="B1102" s="2" t="s">
        <v>33</v>
      </c>
      <c r="C1102" s="3">
        <v>23441.599999999999</v>
      </c>
      <c r="D1102" s="3">
        <v>7652.94</v>
      </c>
      <c r="E1102" s="3">
        <v>16338.6</v>
      </c>
      <c r="F1102" s="3">
        <v>19159.009999999998</v>
      </c>
      <c r="G1102" s="5">
        <f t="shared" si="23"/>
        <v>20212.755549999998</v>
      </c>
    </row>
    <row r="1103" spans="1:7" ht="15" customHeight="1" x14ac:dyDescent="0.25">
      <c r="A1103" s="2" t="s">
        <v>930</v>
      </c>
      <c r="B1103" s="2" t="s">
        <v>11</v>
      </c>
      <c r="C1103" s="3">
        <v>13290.8</v>
      </c>
      <c r="D1103" s="3">
        <v>5067.71</v>
      </c>
      <c r="E1103" s="3">
        <v>11038.81</v>
      </c>
      <c r="F1103" s="3">
        <v>12599.17</v>
      </c>
      <c r="G1103" s="5">
        <f t="shared" si="23"/>
        <v>13292.12435</v>
      </c>
    </row>
    <row r="1104" spans="1:7" ht="15" customHeight="1" x14ac:dyDescent="0.25">
      <c r="A1104" s="2" t="s">
        <v>931</v>
      </c>
      <c r="B1104" s="2" t="s">
        <v>85</v>
      </c>
      <c r="C1104" s="3">
        <v>2150.1799999999998</v>
      </c>
      <c r="D1104" s="3">
        <v>2715.34</v>
      </c>
      <c r="E1104" s="3">
        <v>2715.34</v>
      </c>
      <c r="F1104" s="3">
        <v>2142</v>
      </c>
      <c r="G1104" s="5">
        <f t="shared" si="23"/>
        <v>2259.81</v>
      </c>
    </row>
    <row r="1105" spans="1:8" ht="15" customHeight="1" x14ac:dyDescent="0.25">
      <c r="A1105" s="2" t="s">
        <v>932</v>
      </c>
      <c r="B1105" s="2" t="s">
        <v>577</v>
      </c>
      <c r="C1105" s="3">
        <v>14.45</v>
      </c>
      <c r="D1105" s="3">
        <v>10.91</v>
      </c>
      <c r="E1105" s="3">
        <v>29.17</v>
      </c>
      <c r="F1105" s="3">
        <v>0</v>
      </c>
      <c r="G1105" s="5">
        <f t="shared" si="23"/>
        <v>0</v>
      </c>
    </row>
    <row r="1106" spans="1:8" ht="15" customHeight="1" x14ac:dyDescent="0.25">
      <c r="A1106" s="2" t="s">
        <v>933</v>
      </c>
      <c r="B1106" s="2" t="s">
        <v>579</v>
      </c>
      <c r="C1106" s="3">
        <v>95.27</v>
      </c>
      <c r="D1106" s="3">
        <v>69.03</v>
      </c>
      <c r="E1106" s="3">
        <v>193.84</v>
      </c>
      <c r="F1106" s="3">
        <v>0</v>
      </c>
      <c r="G1106" s="5">
        <f t="shared" si="23"/>
        <v>0</v>
      </c>
    </row>
    <row r="1107" spans="1:8" ht="15" customHeight="1" x14ac:dyDescent="0.25">
      <c r="A1107" s="2" t="s">
        <v>934</v>
      </c>
      <c r="B1107" s="2" t="s">
        <v>581</v>
      </c>
      <c r="C1107" s="3">
        <v>55.21</v>
      </c>
      <c r="D1107" s="3">
        <v>44.12</v>
      </c>
      <c r="E1107" s="3">
        <v>124.84</v>
      </c>
      <c r="F1107" s="3">
        <v>0</v>
      </c>
      <c r="G1107" s="5">
        <f t="shared" si="23"/>
        <v>0</v>
      </c>
    </row>
    <row r="1108" spans="1:8" ht="15" customHeight="1" x14ac:dyDescent="0.25">
      <c r="A1108" s="2" t="s">
        <v>935</v>
      </c>
      <c r="B1108" s="2" t="s">
        <v>13</v>
      </c>
      <c r="C1108" s="3">
        <v>258.81</v>
      </c>
      <c r="D1108" s="3">
        <v>146.59</v>
      </c>
      <c r="E1108" s="3">
        <v>312.23</v>
      </c>
      <c r="F1108" s="3">
        <v>242.1</v>
      </c>
      <c r="G1108" s="5">
        <f t="shared" si="23"/>
        <v>255.41549999999998</v>
      </c>
    </row>
    <row r="1109" spans="1:8" ht="15" customHeight="1" x14ac:dyDescent="0.25">
      <c r="A1109" s="2" t="s">
        <v>936</v>
      </c>
      <c r="B1109" s="2" t="s">
        <v>458</v>
      </c>
      <c r="C1109" s="3">
        <v>602.62</v>
      </c>
      <c r="D1109" s="3">
        <v>147.47999999999999</v>
      </c>
      <c r="E1109" s="3">
        <v>162.16</v>
      </c>
      <c r="F1109" s="3">
        <v>595.20000000000005</v>
      </c>
      <c r="G1109" s="5">
        <v>500</v>
      </c>
    </row>
    <row r="1110" spans="1:8" ht="15" customHeight="1" x14ac:dyDescent="0.25">
      <c r="A1110" s="2" t="s">
        <v>937</v>
      </c>
      <c r="B1110" s="2" t="s">
        <v>585</v>
      </c>
      <c r="C1110" s="3">
        <v>0</v>
      </c>
      <c r="D1110" s="3">
        <v>0</v>
      </c>
      <c r="E1110" s="3">
        <v>13.5</v>
      </c>
      <c r="F1110" s="3">
        <v>0</v>
      </c>
      <c r="G1110" s="5">
        <v>100</v>
      </c>
    </row>
    <row r="1111" spans="1:8" ht="15" customHeight="1" x14ac:dyDescent="0.25">
      <c r="A1111" s="2" t="s">
        <v>938</v>
      </c>
      <c r="B1111" s="2" t="s">
        <v>39</v>
      </c>
      <c r="C1111" s="3">
        <v>19736.37</v>
      </c>
      <c r="D1111" s="3">
        <v>5710.77</v>
      </c>
      <c r="E1111" s="3">
        <v>21361.59</v>
      </c>
      <c r="F1111" s="3">
        <v>50000</v>
      </c>
      <c r="G1111" s="5">
        <v>60000</v>
      </c>
      <c r="H1111" t="s">
        <v>3429</v>
      </c>
    </row>
    <row r="1112" spans="1:8" ht="15" customHeight="1" x14ac:dyDescent="0.25">
      <c r="A1112" s="2" t="s">
        <v>939</v>
      </c>
      <c r="B1112" s="2" t="s">
        <v>940</v>
      </c>
      <c r="C1112" s="3">
        <v>0</v>
      </c>
      <c r="D1112" s="3">
        <v>2200</v>
      </c>
      <c r="E1112" s="3">
        <v>2327.73</v>
      </c>
      <c r="F1112" s="3">
        <v>250</v>
      </c>
      <c r="G1112" s="5">
        <v>250</v>
      </c>
    </row>
    <row r="1113" spans="1:8" ht="15" customHeight="1" x14ac:dyDescent="0.25">
      <c r="A1113" s="2" t="s">
        <v>941</v>
      </c>
      <c r="B1113" s="2" t="s">
        <v>942</v>
      </c>
      <c r="C1113" s="3">
        <v>5146.8500000000004</v>
      </c>
      <c r="D1113" s="3">
        <v>412.5</v>
      </c>
      <c r="E1113" s="3">
        <v>412.5</v>
      </c>
      <c r="F1113" s="3">
        <v>0</v>
      </c>
      <c r="G1113" s="5">
        <v>0</v>
      </c>
    </row>
    <row r="1114" spans="1:8" ht="15" customHeight="1" x14ac:dyDescent="0.25">
      <c r="A1114" s="2" t="s">
        <v>943</v>
      </c>
      <c r="B1114" s="2" t="s">
        <v>944</v>
      </c>
      <c r="C1114" s="3">
        <v>1056.49</v>
      </c>
      <c r="D1114" s="3">
        <v>320.27</v>
      </c>
      <c r="E1114" s="3">
        <v>431.96</v>
      </c>
      <c r="F1114" s="3">
        <v>1250</v>
      </c>
      <c r="G1114" s="5">
        <v>1250</v>
      </c>
    </row>
    <row r="1115" spans="1:8" ht="15" customHeight="1" x14ac:dyDescent="0.25">
      <c r="A1115" s="2" t="s">
        <v>945</v>
      </c>
      <c r="B1115" s="2" t="s">
        <v>17</v>
      </c>
      <c r="C1115" s="3">
        <v>0</v>
      </c>
      <c r="D1115" s="3">
        <v>0</v>
      </c>
      <c r="E1115" s="3">
        <v>0</v>
      </c>
      <c r="F1115" s="3">
        <v>0</v>
      </c>
      <c r="G1115" s="5">
        <v>0</v>
      </c>
    </row>
    <row r="1116" spans="1:8" ht="15" customHeight="1" x14ac:dyDescent="0.25">
      <c r="A1116" s="2" t="s">
        <v>946</v>
      </c>
      <c r="B1116" s="2" t="s">
        <v>947</v>
      </c>
      <c r="C1116" s="3">
        <v>400.68</v>
      </c>
      <c r="D1116" s="3">
        <v>0</v>
      </c>
      <c r="E1116" s="3">
        <v>0</v>
      </c>
      <c r="F1116" s="3">
        <v>0</v>
      </c>
      <c r="G1116" s="5">
        <v>0</v>
      </c>
    </row>
    <row r="1117" spans="1:8" ht="15" customHeight="1" x14ac:dyDescent="0.25">
      <c r="A1117" s="2" t="s">
        <v>948</v>
      </c>
      <c r="B1117" s="2" t="s">
        <v>949</v>
      </c>
      <c r="C1117" s="3">
        <v>0</v>
      </c>
      <c r="D1117" s="3">
        <v>0</v>
      </c>
      <c r="E1117" s="3">
        <v>0</v>
      </c>
      <c r="F1117" s="3">
        <v>40000</v>
      </c>
      <c r="G1117" s="5">
        <v>40000</v>
      </c>
    </row>
    <row r="1118" spans="1:8" ht="15" customHeight="1" x14ac:dyDescent="0.25">
      <c r="A1118" s="2" t="s">
        <v>950</v>
      </c>
      <c r="B1118" s="2" t="s">
        <v>951</v>
      </c>
      <c r="C1118" s="3">
        <v>7818.6</v>
      </c>
      <c r="D1118" s="3">
        <v>5805.79</v>
      </c>
      <c r="E1118" s="3">
        <v>7685.87</v>
      </c>
      <c r="F1118" s="3">
        <v>10000</v>
      </c>
      <c r="G1118" s="5">
        <v>10000</v>
      </c>
    </row>
    <row r="1119" spans="1:8" ht="15" customHeight="1" x14ac:dyDescent="0.25">
      <c r="A1119" s="2" t="s">
        <v>952</v>
      </c>
      <c r="B1119" s="2" t="s">
        <v>953</v>
      </c>
      <c r="C1119" s="3">
        <v>5614.35</v>
      </c>
      <c r="D1119" s="3">
        <v>0</v>
      </c>
      <c r="E1119" s="3">
        <v>0</v>
      </c>
      <c r="F1119" s="3">
        <v>5000</v>
      </c>
      <c r="G1119" s="5">
        <v>5000</v>
      </c>
    </row>
    <row r="1120" spans="1:8" ht="15" customHeight="1" x14ac:dyDescent="0.25">
      <c r="A1120" s="2" t="s">
        <v>954</v>
      </c>
      <c r="B1120" s="2" t="s">
        <v>64</v>
      </c>
      <c r="C1120" s="3">
        <v>3234.69</v>
      </c>
      <c r="D1120" s="3">
        <v>642.41</v>
      </c>
      <c r="E1120" s="3">
        <v>2361.9899999999998</v>
      </c>
      <c r="F1120" s="3">
        <v>5000</v>
      </c>
      <c r="G1120" s="5">
        <v>5000</v>
      </c>
    </row>
    <row r="1121" spans="1:7" ht="15" customHeight="1" x14ac:dyDescent="0.25">
      <c r="A1121" s="2" t="s">
        <v>955</v>
      </c>
      <c r="B1121" s="2" t="s">
        <v>956</v>
      </c>
      <c r="C1121" s="3">
        <v>2036.68</v>
      </c>
      <c r="D1121" s="3">
        <v>0</v>
      </c>
      <c r="E1121" s="3">
        <v>0</v>
      </c>
      <c r="F1121" s="3">
        <v>300</v>
      </c>
      <c r="G1121" s="5">
        <v>300</v>
      </c>
    </row>
    <row r="1122" spans="1:7" ht="15" customHeight="1" x14ac:dyDescent="0.25">
      <c r="A1122" s="2" t="s">
        <v>957</v>
      </c>
      <c r="B1122" s="2" t="s">
        <v>624</v>
      </c>
      <c r="C1122" s="3">
        <v>3611.42</v>
      </c>
      <c r="D1122" s="3">
        <v>706.84</v>
      </c>
      <c r="E1122" s="3">
        <v>1184.33</v>
      </c>
      <c r="F1122" s="3">
        <v>4000</v>
      </c>
      <c r="G1122" s="5">
        <v>4000</v>
      </c>
    </row>
    <row r="1123" spans="1:7" ht="15" customHeight="1" x14ac:dyDescent="0.25">
      <c r="A1123" s="2" t="s">
        <v>958</v>
      </c>
      <c r="B1123" s="2" t="s">
        <v>626</v>
      </c>
      <c r="C1123" s="3">
        <v>152.5</v>
      </c>
      <c r="D1123" s="3">
        <v>0</v>
      </c>
      <c r="E1123" s="3">
        <v>0</v>
      </c>
      <c r="F1123" s="3">
        <v>0</v>
      </c>
      <c r="G1123" s="5">
        <v>0</v>
      </c>
    </row>
    <row r="1124" spans="1:7" ht="15" customHeight="1" x14ac:dyDescent="0.25">
      <c r="A1124" s="1" t="s">
        <v>959</v>
      </c>
      <c r="B1124" s="1" t="s">
        <v>2</v>
      </c>
      <c r="C1124" s="4">
        <v>310994.8</v>
      </c>
      <c r="D1124" s="4">
        <v>116145.57</v>
      </c>
      <c r="E1124" s="4">
        <f>SUM(E1097:E1123)</f>
        <v>252392.84</v>
      </c>
      <c r="F1124" s="6">
        <f>SUM(F1097:F1123)</f>
        <v>360315.94000000006</v>
      </c>
      <c r="G1124" s="6">
        <f>SUM(G1097:G1123)</f>
        <v>383736.38069999998</v>
      </c>
    </row>
    <row r="1125" spans="1:7" x14ac:dyDescent="0.25">
      <c r="A1125" s="1" t="s">
        <v>2</v>
      </c>
      <c r="B1125" s="1" t="s">
        <v>2</v>
      </c>
      <c r="C1125" s="1" t="s">
        <v>2</v>
      </c>
      <c r="D1125" s="1" t="s">
        <v>2</v>
      </c>
      <c r="E1125" s="1"/>
      <c r="F1125" s="1" t="s">
        <v>2</v>
      </c>
      <c r="G1125" s="1" t="s">
        <v>2</v>
      </c>
    </row>
    <row r="1126" spans="1:7" ht="15" customHeight="1" x14ac:dyDescent="0.25">
      <c r="A1126" s="1" t="s">
        <v>960</v>
      </c>
      <c r="B1126" s="1" t="s">
        <v>2</v>
      </c>
    </row>
    <row r="1127" spans="1:7" ht="15" customHeight="1" x14ac:dyDescent="0.25">
      <c r="A1127" s="2" t="s">
        <v>961</v>
      </c>
      <c r="B1127" s="2" t="s">
        <v>962</v>
      </c>
      <c r="C1127" s="3">
        <v>176304.03</v>
      </c>
      <c r="D1127" s="3">
        <v>55655.92</v>
      </c>
      <c r="E1127" s="3">
        <v>108073.88</v>
      </c>
      <c r="F1127" s="3">
        <v>150000</v>
      </c>
      <c r="G1127" s="5">
        <v>150000</v>
      </c>
    </row>
    <row r="1128" spans="1:7" ht="15" customHeight="1" x14ac:dyDescent="0.25">
      <c r="A1128" s="1" t="s">
        <v>963</v>
      </c>
      <c r="B1128" s="1" t="s">
        <v>2</v>
      </c>
      <c r="C1128" s="4">
        <v>176304.03</v>
      </c>
      <c r="D1128" s="4">
        <v>55655.92</v>
      </c>
      <c r="E1128" s="4">
        <f>E1127</f>
        <v>108073.88</v>
      </c>
      <c r="F1128" s="6">
        <f>SUM(F1127)</f>
        <v>150000</v>
      </c>
      <c r="G1128" s="6">
        <f>SUM(G1127)</f>
        <v>150000</v>
      </c>
    </row>
    <row r="1129" spans="1:7" x14ac:dyDescent="0.25">
      <c r="A1129" s="1" t="s">
        <v>2</v>
      </c>
      <c r="B1129" s="1" t="s">
        <v>2</v>
      </c>
      <c r="C1129" s="1" t="s">
        <v>2</v>
      </c>
      <c r="D1129" s="1" t="s">
        <v>2</v>
      </c>
      <c r="E1129" s="1"/>
      <c r="F1129" s="1" t="s">
        <v>2</v>
      </c>
      <c r="G1129" s="1" t="s">
        <v>2</v>
      </c>
    </row>
    <row r="1130" spans="1:7" ht="15" customHeight="1" x14ac:dyDescent="0.25">
      <c r="A1130" s="1" t="s">
        <v>964</v>
      </c>
      <c r="B1130" s="1" t="s">
        <v>2</v>
      </c>
    </row>
    <row r="1131" spans="1:7" ht="15" customHeight="1" x14ac:dyDescent="0.25">
      <c r="A1131" s="2" t="s">
        <v>965</v>
      </c>
      <c r="B1131" s="2" t="s">
        <v>108</v>
      </c>
      <c r="C1131" s="3">
        <v>43544.84</v>
      </c>
      <c r="D1131" s="3">
        <v>13311.18</v>
      </c>
      <c r="E1131" s="3">
        <v>49249.88</v>
      </c>
      <c r="F1131" s="3">
        <v>39583.06</v>
      </c>
      <c r="G1131" s="5">
        <f>F1131*1.055</f>
        <v>41760.128299999997</v>
      </c>
    </row>
    <row r="1132" spans="1:7" ht="15" customHeight="1" x14ac:dyDescent="0.25">
      <c r="A1132" s="2" t="s">
        <v>966</v>
      </c>
      <c r="B1132" s="2" t="s">
        <v>569</v>
      </c>
      <c r="C1132" s="3">
        <v>1870.17</v>
      </c>
      <c r="D1132" s="3">
        <v>328.44</v>
      </c>
      <c r="E1132" s="3">
        <v>571.08000000000004</v>
      </c>
      <c r="F1132" s="3">
        <v>1486.71</v>
      </c>
      <c r="G1132" s="5">
        <f t="shared" ref="G1132:G1137" si="24">F1132*1.055</f>
        <v>1568.4790499999999</v>
      </c>
    </row>
    <row r="1133" spans="1:7" ht="15" customHeight="1" x14ac:dyDescent="0.25">
      <c r="A1133" s="2" t="s">
        <v>967</v>
      </c>
      <c r="B1133" s="2" t="s">
        <v>29</v>
      </c>
      <c r="C1133" s="3">
        <v>12333.87</v>
      </c>
      <c r="D1133" s="3">
        <v>3798.93</v>
      </c>
      <c r="E1133" s="3">
        <v>14035.5</v>
      </c>
      <c r="F1133" s="3">
        <v>12133.03</v>
      </c>
      <c r="G1133" s="5">
        <f t="shared" si="24"/>
        <v>12800.346649999999</v>
      </c>
    </row>
    <row r="1134" spans="1:7" ht="15" customHeight="1" x14ac:dyDescent="0.25">
      <c r="A1134" s="2" t="s">
        <v>968</v>
      </c>
      <c r="B1134" s="2" t="s">
        <v>128</v>
      </c>
      <c r="C1134" s="3">
        <v>1084.33</v>
      </c>
      <c r="D1134" s="3">
        <v>256.64999999999998</v>
      </c>
      <c r="E1134" s="3">
        <v>889.2</v>
      </c>
      <c r="F1134" s="3">
        <v>1065.2</v>
      </c>
      <c r="G1134" s="5">
        <f t="shared" si="24"/>
        <v>1123.7860000000001</v>
      </c>
    </row>
    <row r="1135" spans="1:7" ht="15" customHeight="1" x14ac:dyDescent="0.25">
      <c r="A1135" s="2" t="s">
        <v>969</v>
      </c>
      <c r="B1135" s="2" t="s">
        <v>33</v>
      </c>
      <c r="C1135" s="3">
        <v>5817.7</v>
      </c>
      <c r="D1135" s="3">
        <v>1514.35</v>
      </c>
      <c r="E1135" s="3">
        <v>5748.28</v>
      </c>
      <c r="F1135" s="3">
        <v>4720.24</v>
      </c>
      <c r="G1135" s="5">
        <f t="shared" si="24"/>
        <v>4979.8531999999996</v>
      </c>
    </row>
    <row r="1136" spans="1:7" ht="15" customHeight="1" x14ac:dyDescent="0.25">
      <c r="A1136" s="2" t="s">
        <v>970</v>
      </c>
      <c r="B1136" s="2" t="s">
        <v>11</v>
      </c>
      <c r="C1136" s="3">
        <v>3420.49</v>
      </c>
      <c r="D1136" s="3">
        <v>1026.74</v>
      </c>
      <c r="E1136" s="3">
        <v>3752.66</v>
      </c>
      <c r="F1136" s="3">
        <v>3141.84</v>
      </c>
      <c r="G1136" s="5">
        <f t="shared" si="24"/>
        <v>3314.6412</v>
      </c>
    </row>
    <row r="1137" spans="1:7" ht="15" customHeight="1" x14ac:dyDescent="0.25">
      <c r="A1137" s="2" t="s">
        <v>971</v>
      </c>
      <c r="B1137" s="2" t="s">
        <v>13</v>
      </c>
      <c r="C1137" s="3">
        <v>66.540000000000006</v>
      </c>
      <c r="D1137" s="3">
        <v>28.39</v>
      </c>
      <c r="E1137" s="3">
        <v>106.37</v>
      </c>
      <c r="F1137" s="3">
        <v>60.37</v>
      </c>
      <c r="G1137" s="5">
        <f t="shared" si="24"/>
        <v>63.690349999999995</v>
      </c>
    </row>
    <row r="1138" spans="1:7" ht="15" customHeight="1" x14ac:dyDescent="0.25">
      <c r="A1138" s="2" t="s">
        <v>972</v>
      </c>
      <c r="B1138" s="2" t="s">
        <v>973</v>
      </c>
      <c r="C1138" s="3">
        <v>168.27</v>
      </c>
      <c r="D1138" s="3">
        <v>36.43</v>
      </c>
      <c r="E1138" s="3">
        <v>46.25</v>
      </c>
      <c r="F1138" s="3">
        <v>147.37</v>
      </c>
      <c r="G1138" s="5">
        <v>250</v>
      </c>
    </row>
    <row r="1139" spans="1:7" ht="15" customHeight="1" x14ac:dyDescent="0.25">
      <c r="A1139" s="2" t="s">
        <v>974</v>
      </c>
      <c r="B1139" s="2" t="s">
        <v>585</v>
      </c>
      <c r="C1139" s="3">
        <v>0</v>
      </c>
      <c r="D1139" s="3">
        <v>0</v>
      </c>
      <c r="E1139" s="3">
        <v>1.67</v>
      </c>
      <c r="F1139" s="3">
        <v>0</v>
      </c>
      <c r="G1139" s="5">
        <v>0</v>
      </c>
    </row>
    <row r="1140" spans="1:7" ht="15" customHeight="1" x14ac:dyDescent="0.25">
      <c r="A1140" s="2" t="s">
        <v>975</v>
      </c>
      <c r="B1140" s="2" t="s">
        <v>39</v>
      </c>
      <c r="C1140" s="3">
        <v>17833.98</v>
      </c>
      <c r="D1140" s="3">
        <v>10557.95</v>
      </c>
      <c r="E1140" s="3">
        <v>34953.879999999997</v>
      </c>
      <c r="F1140" s="3">
        <v>40000</v>
      </c>
      <c r="G1140" s="5">
        <v>40000</v>
      </c>
    </row>
    <row r="1141" spans="1:7" ht="15" customHeight="1" x14ac:dyDescent="0.25">
      <c r="A1141" s="2" t="s">
        <v>976</v>
      </c>
      <c r="B1141" s="2" t="s">
        <v>940</v>
      </c>
      <c r="C1141" s="3">
        <v>0</v>
      </c>
      <c r="D1141" s="3">
        <v>0</v>
      </c>
      <c r="E1141" s="3">
        <v>0</v>
      </c>
      <c r="F1141" s="3">
        <v>0</v>
      </c>
      <c r="G1141" s="5">
        <v>0</v>
      </c>
    </row>
    <row r="1142" spans="1:7" ht="15" customHeight="1" x14ac:dyDescent="0.25">
      <c r="A1142" s="2" t="s">
        <v>977</v>
      </c>
      <c r="B1142" s="2" t="s">
        <v>947</v>
      </c>
      <c r="C1142" s="3">
        <v>3492.49</v>
      </c>
      <c r="D1142" s="3">
        <v>613.46</v>
      </c>
      <c r="E1142" s="3">
        <v>613.46</v>
      </c>
      <c r="F1142" s="3">
        <v>10000</v>
      </c>
      <c r="G1142" s="5">
        <v>10000</v>
      </c>
    </row>
    <row r="1143" spans="1:7" ht="15" customHeight="1" x14ac:dyDescent="0.25">
      <c r="A1143" s="1" t="s">
        <v>978</v>
      </c>
      <c r="B1143" s="1" t="s">
        <v>2</v>
      </c>
      <c r="C1143" s="4">
        <v>89632.68</v>
      </c>
      <c r="D1143" s="4">
        <v>31472.52</v>
      </c>
      <c r="E1143" s="4">
        <f>SUM(E1131:E1142)</f>
        <v>109968.23</v>
      </c>
      <c r="F1143" s="6">
        <f>SUM(F1131:F1142)</f>
        <v>112337.81999999999</v>
      </c>
      <c r="G1143" s="6">
        <f>SUM(G1131:G1142)</f>
        <v>115860.92475000001</v>
      </c>
    </row>
    <row r="1144" spans="1:7" x14ac:dyDescent="0.25">
      <c r="A1144" s="1" t="s">
        <v>2</v>
      </c>
      <c r="B1144" s="1" t="s">
        <v>2</v>
      </c>
      <c r="C1144" s="1" t="s">
        <v>2</v>
      </c>
      <c r="D1144" s="1" t="s">
        <v>2</v>
      </c>
      <c r="E1144" s="1"/>
      <c r="F1144" s="1" t="s">
        <v>2</v>
      </c>
      <c r="G1144" s="1" t="s">
        <v>2</v>
      </c>
    </row>
    <row r="1145" spans="1:7" ht="15" customHeight="1" x14ac:dyDescent="0.25">
      <c r="A1145" s="1" t="s">
        <v>979</v>
      </c>
      <c r="B1145" s="1" t="s">
        <v>2</v>
      </c>
    </row>
    <row r="1146" spans="1:7" ht="15" customHeight="1" x14ac:dyDescent="0.25">
      <c r="A1146" s="2" t="s">
        <v>980</v>
      </c>
      <c r="B1146" s="2" t="s">
        <v>108</v>
      </c>
      <c r="C1146" s="3">
        <v>5887.06</v>
      </c>
      <c r="D1146" s="3">
        <v>26429.25</v>
      </c>
      <c r="E1146" s="3">
        <v>26429.25</v>
      </c>
      <c r="F1146" s="3">
        <v>17433.32</v>
      </c>
      <c r="G1146" s="5">
        <f>F1146*1.055</f>
        <v>18392.152599999998</v>
      </c>
    </row>
    <row r="1147" spans="1:7" ht="15" customHeight="1" x14ac:dyDescent="0.25">
      <c r="A1147" s="2" t="s">
        <v>981</v>
      </c>
      <c r="B1147" s="2" t="s">
        <v>786</v>
      </c>
      <c r="C1147" s="3">
        <v>9678.7900000000009</v>
      </c>
      <c r="D1147" s="3">
        <v>13999.44</v>
      </c>
      <c r="E1147" s="3">
        <v>13999.44</v>
      </c>
      <c r="F1147" s="3">
        <v>4634.29</v>
      </c>
      <c r="G1147" s="5">
        <f t="shared" ref="G1147:G1155" si="25">F1147*1.055</f>
        <v>4889.1759499999998</v>
      </c>
    </row>
    <row r="1148" spans="1:7" ht="15" customHeight="1" x14ac:dyDescent="0.25">
      <c r="A1148" s="2" t="s">
        <v>982</v>
      </c>
      <c r="B1148" s="2" t="s">
        <v>29</v>
      </c>
      <c r="C1148" s="3">
        <v>3106.03</v>
      </c>
      <c r="D1148" s="3">
        <v>9315.51</v>
      </c>
      <c r="E1148" s="3">
        <v>9315.51</v>
      </c>
      <c r="F1148" s="3">
        <v>5821.48</v>
      </c>
      <c r="G1148" s="5">
        <f t="shared" si="25"/>
        <v>6141.661399999999</v>
      </c>
    </row>
    <row r="1149" spans="1:7" ht="15" customHeight="1" x14ac:dyDescent="0.25">
      <c r="A1149" s="2" t="s">
        <v>983</v>
      </c>
      <c r="B1149" s="2" t="s">
        <v>128</v>
      </c>
      <c r="C1149" s="3">
        <v>111.98</v>
      </c>
      <c r="D1149" s="3">
        <v>554.79</v>
      </c>
      <c r="E1149" s="3">
        <v>554.79</v>
      </c>
      <c r="F1149" s="3">
        <v>433.97</v>
      </c>
      <c r="G1149" s="5">
        <f t="shared" si="25"/>
        <v>457.83834999999999</v>
      </c>
    </row>
    <row r="1150" spans="1:7" ht="15" customHeight="1" x14ac:dyDescent="0.25">
      <c r="A1150" s="2" t="s">
        <v>984</v>
      </c>
      <c r="B1150" s="2" t="s">
        <v>33</v>
      </c>
      <c r="C1150" s="3">
        <v>812.26</v>
      </c>
      <c r="D1150" s="3">
        <v>2997.62</v>
      </c>
      <c r="E1150" s="3">
        <v>2997.62</v>
      </c>
      <c r="F1150" s="3">
        <v>2070.41</v>
      </c>
      <c r="G1150" s="5">
        <f t="shared" si="25"/>
        <v>2184.2825499999999</v>
      </c>
    </row>
    <row r="1151" spans="1:7" ht="15" customHeight="1" x14ac:dyDescent="0.25">
      <c r="A1151" s="2" t="s">
        <v>985</v>
      </c>
      <c r="B1151" s="2" t="s">
        <v>11</v>
      </c>
      <c r="C1151" s="3">
        <v>444.2</v>
      </c>
      <c r="D1151" s="3">
        <v>1995.38</v>
      </c>
      <c r="E1151" s="3">
        <v>1995.38</v>
      </c>
      <c r="F1151" s="3">
        <v>1333.65</v>
      </c>
      <c r="G1151" s="5">
        <f t="shared" si="25"/>
        <v>1407.0007499999999</v>
      </c>
    </row>
    <row r="1152" spans="1:7" ht="15" customHeight="1" x14ac:dyDescent="0.25">
      <c r="A1152" s="2" t="s">
        <v>986</v>
      </c>
      <c r="B1152" s="2" t="s">
        <v>13</v>
      </c>
      <c r="C1152" s="3">
        <v>23.8</v>
      </c>
      <c r="D1152" s="3">
        <v>71.569999999999993</v>
      </c>
      <c r="E1152" s="3">
        <v>71.569999999999993</v>
      </c>
      <c r="F1152" s="3">
        <v>32.44</v>
      </c>
      <c r="G1152" s="5">
        <f t="shared" si="25"/>
        <v>34.224199999999996</v>
      </c>
    </row>
    <row r="1153" spans="1:7" ht="15" customHeight="1" x14ac:dyDescent="0.25">
      <c r="A1153" s="2" t="s">
        <v>987</v>
      </c>
      <c r="B1153" s="2" t="s">
        <v>577</v>
      </c>
      <c r="C1153" s="3">
        <v>230.56</v>
      </c>
      <c r="D1153" s="3">
        <v>248.2</v>
      </c>
      <c r="E1153" s="3">
        <v>248.2</v>
      </c>
      <c r="F1153" s="3">
        <v>118.36</v>
      </c>
      <c r="G1153" s="5">
        <f t="shared" si="25"/>
        <v>124.8698</v>
      </c>
    </row>
    <row r="1154" spans="1:7" ht="15" customHeight="1" x14ac:dyDescent="0.25">
      <c r="A1154" s="2" t="s">
        <v>988</v>
      </c>
      <c r="B1154" s="2" t="s">
        <v>579</v>
      </c>
      <c r="C1154" s="3">
        <v>1375.03</v>
      </c>
      <c r="D1154" s="3">
        <v>1593.32</v>
      </c>
      <c r="E1154" s="3">
        <v>1593.32</v>
      </c>
      <c r="F1154" s="3">
        <v>555.73</v>
      </c>
      <c r="G1154" s="5">
        <f t="shared" si="25"/>
        <v>586.29515000000004</v>
      </c>
    </row>
    <row r="1155" spans="1:7" ht="15" customHeight="1" x14ac:dyDescent="0.25">
      <c r="A1155" s="2" t="s">
        <v>989</v>
      </c>
      <c r="B1155" s="2" t="s">
        <v>581</v>
      </c>
      <c r="C1155" s="3">
        <v>733.12</v>
      </c>
      <c r="D1155" s="3">
        <v>1061.72</v>
      </c>
      <c r="E1155" s="3">
        <v>1061.72</v>
      </c>
      <c r="F1155" s="3">
        <v>354.52</v>
      </c>
      <c r="G1155" s="5">
        <f t="shared" si="25"/>
        <v>374.01859999999994</v>
      </c>
    </row>
    <row r="1156" spans="1:7" ht="15" customHeight="1" x14ac:dyDescent="0.25">
      <c r="A1156" s="2" t="s">
        <v>990</v>
      </c>
      <c r="B1156" s="2" t="s">
        <v>973</v>
      </c>
      <c r="C1156" s="3">
        <v>87.79</v>
      </c>
      <c r="D1156" s="3">
        <v>16.09</v>
      </c>
      <c r="E1156" s="3">
        <v>20.43</v>
      </c>
      <c r="F1156" s="3">
        <v>64.900000000000006</v>
      </c>
      <c r="G1156" s="5">
        <v>250</v>
      </c>
    </row>
    <row r="1157" spans="1:7" ht="15" customHeight="1" x14ac:dyDescent="0.25">
      <c r="A1157" s="2" t="s">
        <v>991</v>
      </c>
      <c r="B1157" s="2" t="s">
        <v>585</v>
      </c>
      <c r="C1157" s="3">
        <v>675</v>
      </c>
      <c r="D1157" s="3">
        <v>720</v>
      </c>
      <c r="E1157" s="3">
        <v>720</v>
      </c>
      <c r="F1157" s="3">
        <v>215</v>
      </c>
      <c r="G1157" s="5">
        <v>750</v>
      </c>
    </row>
    <row r="1158" spans="1:7" ht="15" customHeight="1" x14ac:dyDescent="0.25">
      <c r="A1158" s="2" t="s">
        <v>992</v>
      </c>
      <c r="B1158" s="2" t="s">
        <v>39</v>
      </c>
      <c r="C1158" s="3">
        <v>8730.52</v>
      </c>
      <c r="D1158" s="3">
        <v>8969.19</v>
      </c>
      <c r="E1158" s="3">
        <v>8969.19</v>
      </c>
      <c r="F1158" s="3">
        <v>10000</v>
      </c>
      <c r="G1158" s="5">
        <v>10000</v>
      </c>
    </row>
    <row r="1159" spans="1:7" ht="15" customHeight="1" x14ac:dyDescent="0.25">
      <c r="A1159" s="2" t="s">
        <v>993</v>
      </c>
      <c r="B1159" s="2" t="s">
        <v>64</v>
      </c>
      <c r="C1159" s="3">
        <v>0</v>
      </c>
      <c r="D1159" s="3">
        <v>0</v>
      </c>
      <c r="E1159" s="3">
        <v>0</v>
      </c>
      <c r="F1159" s="3">
        <v>0</v>
      </c>
      <c r="G1159" s="5">
        <v>0</v>
      </c>
    </row>
    <row r="1160" spans="1:7" ht="15" customHeight="1" x14ac:dyDescent="0.25">
      <c r="A1160" s="1" t="s">
        <v>994</v>
      </c>
      <c r="B1160" s="1" t="s">
        <v>2</v>
      </c>
      <c r="C1160" s="4">
        <v>31896.14</v>
      </c>
      <c r="D1160" s="4">
        <v>67972.08</v>
      </c>
      <c r="E1160" s="4">
        <f>SUM(E1146:E1159)</f>
        <v>67976.42</v>
      </c>
      <c r="F1160" s="6">
        <f>SUM(F1146:F1159)</f>
        <v>43068.07</v>
      </c>
      <c r="G1160" s="6">
        <f>SUM(G1146:G1159)</f>
        <v>45591.519349999995</v>
      </c>
    </row>
    <row r="1161" spans="1:7" x14ac:dyDescent="0.25">
      <c r="A1161" s="1" t="s">
        <v>2</v>
      </c>
      <c r="B1161" s="1" t="s">
        <v>2</v>
      </c>
      <c r="C1161" s="1" t="s">
        <v>2</v>
      </c>
      <c r="D1161" s="1" t="s">
        <v>2</v>
      </c>
      <c r="E1161" s="1"/>
      <c r="F1161" s="1" t="s">
        <v>2</v>
      </c>
      <c r="G1161" s="1" t="s">
        <v>2</v>
      </c>
    </row>
    <row r="1162" spans="1:7" ht="15" customHeight="1" x14ac:dyDescent="0.25">
      <c r="A1162" s="1" t="s">
        <v>995</v>
      </c>
      <c r="B1162" s="1" t="s">
        <v>2</v>
      </c>
    </row>
    <row r="1163" spans="1:7" ht="15" customHeight="1" x14ac:dyDescent="0.25">
      <c r="A1163" s="2" t="s">
        <v>996</v>
      </c>
      <c r="B1163" s="2" t="s">
        <v>108</v>
      </c>
      <c r="C1163" s="3">
        <v>36561.97</v>
      </c>
      <c r="D1163" s="3">
        <v>13456.42</v>
      </c>
      <c r="E1163" s="3">
        <v>21966.85</v>
      </c>
      <c r="F1163" s="3">
        <v>28562.69</v>
      </c>
      <c r="G1163" s="5">
        <f>F1163*1.055</f>
        <v>30133.637949999997</v>
      </c>
    </row>
    <row r="1164" spans="1:7" ht="15" customHeight="1" x14ac:dyDescent="0.25">
      <c r="A1164" s="2" t="s">
        <v>997</v>
      </c>
      <c r="B1164" s="2" t="s">
        <v>29</v>
      </c>
      <c r="C1164" s="3">
        <v>12378.3</v>
      </c>
      <c r="D1164" s="3">
        <v>4343.3500000000004</v>
      </c>
      <c r="E1164" s="3">
        <v>7274.38</v>
      </c>
      <c r="F1164" s="3">
        <v>10345.4</v>
      </c>
      <c r="G1164" s="5">
        <f t="shared" ref="G1164:G1168" si="26">F1164*1.055</f>
        <v>10914.396999999999</v>
      </c>
    </row>
    <row r="1165" spans="1:7" ht="15" customHeight="1" x14ac:dyDescent="0.25">
      <c r="A1165" s="2" t="s">
        <v>998</v>
      </c>
      <c r="B1165" s="2" t="s">
        <v>128</v>
      </c>
      <c r="C1165" s="3">
        <v>746.34</v>
      </c>
      <c r="D1165" s="3">
        <v>232.84</v>
      </c>
      <c r="E1165" s="3">
        <v>355.7</v>
      </c>
      <c r="F1165" s="3">
        <v>769.31</v>
      </c>
      <c r="G1165" s="5">
        <f t="shared" si="26"/>
        <v>811.62204999999994</v>
      </c>
    </row>
    <row r="1166" spans="1:7" ht="15" customHeight="1" x14ac:dyDescent="0.25">
      <c r="A1166" s="2" t="s">
        <v>999</v>
      </c>
      <c r="B1166" s="2" t="s">
        <v>33</v>
      </c>
      <c r="C1166" s="3">
        <v>4288.28</v>
      </c>
      <c r="D1166" s="3">
        <v>1388.14</v>
      </c>
      <c r="E1166" s="3">
        <v>2299.6999999999998</v>
      </c>
      <c r="F1166" s="3">
        <v>3036.01</v>
      </c>
      <c r="G1166" s="5">
        <f t="shared" si="26"/>
        <v>3202.99055</v>
      </c>
    </row>
    <row r="1167" spans="1:7" ht="15" customHeight="1" x14ac:dyDescent="0.25">
      <c r="A1167" s="2" t="s">
        <v>1000</v>
      </c>
      <c r="B1167" s="2" t="s">
        <v>11</v>
      </c>
      <c r="C1167" s="3">
        <v>2745.02</v>
      </c>
      <c r="D1167" s="3">
        <v>1010.88</v>
      </c>
      <c r="E1167" s="3">
        <v>1648.05</v>
      </c>
      <c r="F1167" s="3">
        <v>2185.0500000000002</v>
      </c>
      <c r="G1167" s="5">
        <f t="shared" si="26"/>
        <v>2305.22775</v>
      </c>
    </row>
    <row r="1168" spans="1:7" ht="15" customHeight="1" x14ac:dyDescent="0.25">
      <c r="A1168" s="2" t="s">
        <v>1001</v>
      </c>
      <c r="B1168" s="2" t="s">
        <v>13</v>
      </c>
      <c r="C1168" s="3">
        <v>53.6</v>
      </c>
      <c r="D1168" s="3">
        <v>28.11</v>
      </c>
      <c r="E1168" s="3">
        <v>46.22</v>
      </c>
      <c r="F1168" s="3">
        <v>41.99</v>
      </c>
      <c r="G1168" s="5">
        <f t="shared" si="26"/>
        <v>44.29945</v>
      </c>
    </row>
    <row r="1169" spans="1:12" ht="15" customHeight="1" x14ac:dyDescent="0.25">
      <c r="A1169" s="2" t="s">
        <v>1002</v>
      </c>
      <c r="B1169" s="2" t="s">
        <v>973</v>
      </c>
      <c r="C1169" s="3">
        <v>98.34</v>
      </c>
      <c r="D1169" s="3">
        <v>26.44</v>
      </c>
      <c r="E1169" s="3">
        <v>33.57</v>
      </c>
      <c r="F1169" s="3">
        <v>106.34</v>
      </c>
      <c r="G1169" s="5">
        <v>250</v>
      </c>
    </row>
    <row r="1170" spans="1:12" ht="15" customHeight="1" x14ac:dyDescent="0.25">
      <c r="A1170" s="2" t="s">
        <v>1003</v>
      </c>
      <c r="B1170" s="2" t="s">
        <v>39</v>
      </c>
      <c r="C1170" s="3">
        <v>0</v>
      </c>
      <c r="D1170" s="3">
        <v>0</v>
      </c>
      <c r="E1170" s="3">
        <v>467.82</v>
      </c>
      <c r="F1170" s="3">
        <v>2500</v>
      </c>
      <c r="G1170" s="5">
        <v>2500</v>
      </c>
    </row>
    <row r="1171" spans="1:12" ht="15" customHeight="1" x14ac:dyDescent="0.25">
      <c r="A1171" s="2" t="s">
        <v>1004</v>
      </c>
      <c r="B1171" s="2" t="s">
        <v>64</v>
      </c>
      <c r="C1171" s="3">
        <v>0</v>
      </c>
      <c r="D1171" s="3">
        <v>0</v>
      </c>
      <c r="E1171" s="3">
        <v>0</v>
      </c>
      <c r="F1171" s="3">
        <v>0</v>
      </c>
      <c r="G1171" s="5">
        <v>0</v>
      </c>
    </row>
    <row r="1172" spans="1:12" ht="15" customHeight="1" x14ac:dyDescent="0.25">
      <c r="A1172" s="1" t="s">
        <v>1005</v>
      </c>
      <c r="B1172" s="1" t="s">
        <v>2</v>
      </c>
      <c r="C1172" s="4">
        <v>56871.85</v>
      </c>
      <c r="D1172" s="4">
        <v>20486.18</v>
      </c>
      <c r="E1172" s="4">
        <f>SUM(E1163:E1171)</f>
        <v>34092.29</v>
      </c>
      <c r="F1172" s="6">
        <f>SUM(F1163:F1171)</f>
        <v>47546.789999999994</v>
      </c>
      <c r="G1172" s="6">
        <f>SUM(G1163:G1171)</f>
        <v>50162.174749999991</v>
      </c>
    </row>
    <row r="1173" spans="1:12" x14ac:dyDescent="0.25">
      <c r="A1173" s="1" t="s">
        <v>2</v>
      </c>
      <c r="B1173" s="1" t="s">
        <v>2</v>
      </c>
      <c r="C1173" s="1" t="s">
        <v>2</v>
      </c>
      <c r="D1173" s="1" t="s">
        <v>2</v>
      </c>
      <c r="E1173" s="1"/>
      <c r="F1173" s="1" t="s">
        <v>2</v>
      </c>
      <c r="G1173" s="1" t="s">
        <v>2</v>
      </c>
    </row>
    <row r="1174" spans="1:12" ht="15" customHeight="1" x14ac:dyDescent="0.25">
      <c r="A1174" s="2" t="s">
        <v>1006</v>
      </c>
      <c r="B1174" s="2" t="s">
        <v>1007</v>
      </c>
      <c r="C1174" s="3">
        <v>0</v>
      </c>
      <c r="D1174" s="3">
        <v>0</v>
      </c>
      <c r="E1174" s="3">
        <v>0</v>
      </c>
      <c r="F1174" s="3">
        <v>0</v>
      </c>
      <c r="G1174" s="59">
        <v>0</v>
      </c>
    </row>
    <row r="1175" spans="1:12" x14ac:dyDescent="0.25">
      <c r="A1175" s="2" t="s">
        <v>1008</v>
      </c>
      <c r="B1175" s="2" t="s">
        <v>1009</v>
      </c>
      <c r="C1175" s="3">
        <v>23850.639999999999</v>
      </c>
      <c r="D1175" s="3">
        <v>0</v>
      </c>
      <c r="E1175" s="3">
        <v>0</v>
      </c>
      <c r="F1175" s="3">
        <v>0</v>
      </c>
      <c r="G1175" s="59">
        <v>0</v>
      </c>
      <c r="L1175" s="48">
        <f>H1175</f>
        <v>0</v>
      </c>
    </row>
    <row r="1176" spans="1:12" x14ac:dyDescent="0.25">
      <c r="A1176" s="2" t="s">
        <v>1010</v>
      </c>
      <c r="B1176" s="2" t="s">
        <v>1011</v>
      </c>
      <c r="C1176" s="3">
        <v>0</v>
      </c>
      <c r="D1176" s="3">
        <v>0</v>
      </c>
      <c r="E1176" s="3">
        <v>0</v>
      </c>
      <c r="F1176" s="3">
        <v>0</v>
      </c>
      <c r="G1176" s="59">
        <v>0</v>
      </c>
      <c r="L1176" s="48">
        <f t="shared" ref="L1176:L1177" si="27">H1176</f>
        <v>0</v>
      </c>
    </row>
    <row r="1177" spans="1:12" ht="15" customHeight="1" x14ac:dyDescent="0.25">
      <c r="A1177" s="2" t="s">
        <v>1012</v>
      </c>
      <c r="B1177" s="2" t="s">
        <v>1013</v>
      </c>
      <c r="C1177" s="3">
        <v>17643.03</v>
      </c>
      <c r="D1177" s="3">
        <v>0</v>
      </c>
      <c r="E1177" s="3">
        <v>0</v>
      </c>
      <c r="F1177" s="3">
        <v>0</v>
      </c>
      <c r="G1177" s="59">
        <v>0</v>
      </c>
      <c r="L1177" s="48">
        <f t="shared" si="27"/>
        <v>0</v>
      </c>
    </row>
    <row r="1178" spans="1:12" ht="15" customHeight="1" x14ac:dyDescent="0.25">
      <c r="A1178" s="2" t="s">
        <v>1014</v>
      </c>
      <c r="B1178" s="2" t="s">
        <v>1015</v>
      </c>
      <c r="C1178" s="3">
        <v>8581.11</v>
      </c>
      <c r="D1178" s="3">
        <v>0</v>
      </c>
      <c r="E1178" s="3">
        <v>0</v>
      </c>
      <c r="F1178" s="3">
        <v>0</v>
      </c>
      <c r="G1178" s="59">
        <v>0</v>
      </c>
    </row>
    <row r="1179" spans="1:12" ht="15" customHeight="1" x14ac:dyDescent="0.25">
      <c r="A1179" s="2" t="s">
        <v>1016</v>
      </c>
      <c r="B1179" s="2" t="s">
        <v>1017</v>
      </c>
      <c r="C1179" s="3">
        <v>0</v>
      </c>
      <c r="D1179" s="3">
        <v>0</v>
      </c>
      <c r="E1179" s="3">
        <v>0</v>
      </c>
      <c r="F1179" s="3">
        <v>0</v>
      </c>
      <c r="G1179" s="59">
        <v>0</v>
      </c>
    </row>
    <row r="1180" spans="1:12" ht="15" customHeight="1" x14ac:dyDescent="0.25">
      <c r="A1180" s="2" t="s">
        <v>1018</v>
      </c>
      <c r="B1180" s="2" t="s">
        <v>1019</v>
      </c>
      <c r="C1180" s="3">
        <v>39114.050000000003</v>
      </c>
      <c r="D1180" s="3">
        <v>0</v>
      </c>
      <c r="E1180" s="3">
        <v>0</v>
      </c>
      <c r="F1180" s="3">
        <v>0</v>
      </c>
      <c r="G1180" s="59">
        <v>0</v>
      </c>
    </row>
    <row r="1181" spans="1:12" ht="15" customHeight="1" x14ac:dyDescent="0.25">
      <c r="A1181" s="2" t="s">
        <v>1020</v>
      </c>
      <c r="B1181" s="2" t="s">
        <v>1021</v>
      </c>
      <c r="C1181" s="3">
        <v>37161.25</v>
      </c>
      <c r="D1181" s="3">
        <v>0</v>
      </c>
      <c r="E1181" s="3">
        <v>0</v>
      </c>
      <c r="F1181" s="3">
        <v>0</v>
      </c>
      <c r="G1181" s="59">
        <v>0</v>
      </c>
    </row>
    <row r="1182" spans="1:12" ht="15" customHeight="1" x14ac:dyDescent="0.25">
      <c r="A1182" s="2" t="s">
        <v>1022</v>
      </c>
      <c r="B1182" s="2" t="s">
        <v>1023</v>
      </c>
      <c r="C1182" s="3">
        <v>0</v>
      </c>
      <c r="D1182" s="3">
        <v>0</v>
      </c>
      <c r="E1182" s="3">
        <v>0</v>
      </c>
      <c r="F1182" s="3">
        <v>20000</v>
      </c>
      <c r="G1182" s="59">
        <v>0</v>
      </c>
    </row>
    <row r="1183" spans="1:12" ht="15" customHeight="1" x14ac:dyDescent="0.25">
      <c r="A1183" s="2" t="s">
        <v>1024</v>
      </c>
      <c r="B1183" s="2" t="s">
        <v>1025</v>
      </c>
      <c r="C1183" s="3">
        <v>0</v>
      </c>
      <c r="D1183" s="3">
        <v>0</v>
      </c>
      <c r="E1183" s="3">
        <v>0</v>
      </c>
      <c r="F1183" s="3">
        <v>22500</v>
      </c>
      <c r="G1183" s="59">
        <v>0</v>
      </c>
    </row>
    <row r="1184" spans="1:12" ht="15" customHeight="1" x14ac:dyDescent="0.25">
      <c r="A1184" s="2" t="s">
        <v>1026</v>
      </c>
      <c r="B1184" s="2" t="s">
        <v>1027</v>
      </c>
      <c r="C1184" s="3">
        <v>0</v>
      </c>
      <c r="D1184" s="3">
        <v>0</v>
      </c>
      <c r="E1184" s="3">
        <v>0</v>
      </c>
      <c r="F1184" s="3">
        <v>10000</v>
      </c>
      <c r="G1184" s="59">
        <v>0</v>
      </c>
    </row>
    <row r="1185" spans="1:8" ht="15" customHeight="1" x14ac:dyDescent="0.25">
      <c r="A1185" s="2" t="s">
        <v>1028</v>
      </c>
      <c r="B1185" s="2" t="s">
        <v>1029</v>
      </c>
      <c r="C1185" s="3">
        <v>0</v>
      </c>
      <c r="D1185" s="3">
        <v>0</v>
      </c>
      <c r="E1185" s="3">
        <v>0</v>
      </c>
      <c r="F1185" s="3">
        <v>10000</v>
      </c>
      <c r="G1185" s="59">
        <v>0</v>
      </c>
    </row>
    <row r="1186" spans="1:8" ht="15" customHeight="1" x14ac:dyDescent="0.25">
      <c r="A1186" s="2" t="s">
        <v>1030</v>
      </c>
      <c r="B1186" s="2" t="s">
        <v>1031</v>
      </c>
      <c r="C1186" s="3">
        <v>0</v>
      </c>
      <c r="D1186" s="3">
        <v>0</v>
      </c>
      <c r="E1186" s="3">
        <v>0</v>
      </c>
      <c r="F1186" s="3">
        <v>5000</v>
      </c>
      <c r="G1186" s="59">
        <v>0</v>
      </c>
    </row>
    <row r="1187" spans="1:8" ht="15" customHeight="1" x14ac:dyDescent="0.25">
      <c r="A1187" s="2" t="s">
        <v>1032</v>
      </c>
      <c r="B1187" s="2" t="s">
        <v>1033</v>
      </c>
      <c r="C1187" s="3">
        <v>0</v>
      </c>
      <c r="D1187" s="3">
        <v>0</v>
      </c>
      <c r="E1187" s="3">
        <v>0</v>
      </c>
      <c r="F1187" s="3">
        <v>95000</v>
      </c>
      <c r="G1187" s="59">
        <v>0</v>
      </c>
    </row>
    <row r="1188" spans="1:8" x14ac:dyDescent="0.25">
      <c r="A1188" s="2" t="s">
        <v>1034</v>
      </c>
      <c r="B1188" s="2" t="s">
        <v>1035</v>
      </c>
      <c r="C1188" s="3">
        <v>0</v>
      </c>
      <c r="D1188" s="3">
        <v>0</v>
      </c>
      <c r="E1188" s="3">
        <v>0</v>
      </c>
      <c r="F1188" s="3">
        <v>2500</v>
      </c>
      <c r="G1188" s="59">
        <v>0</v>
      </c>
    </row>
    <row r="1189" spans="1:8" ht="15" customHeight="1" x14ac:dyDescent="0.25">
      <c r="A1189" s="2" t="s">
        <v>1036</v>
      </c>
      <c r="B1189" s="2" t="s">
        <v>1037</v>
      </c>
      <c r="C1189" s="3">
        <v>0</v>
      </c>
      <c r="D1189" s="3">
        <v>0</v>
      </c>
      <c r="E1189" s="3">
        <v>0</v>
      </c>
      <c r="F1189" s="3">
        <v>1750</v>
      </c>
      <c r="G1189" s="59">
        <v>0</v>
      </c>
    </row>
    <row r="1190" spans="1:8" x14ac:dyDescent="0.25">
      <c r="A1190" s="1" t="s">
        <v>2</v>
      </c>
      <c r="B1190" s="1" t="s">
        <v>2</v>
      </c>
      <c r="C1190" s="1" t="s">
        <v>2</v>
      </c>
      <c r="D1190" s="1" t="s">
        <v>2</v>
      </c>
      <c r="E1190" s="1"/>
      <c r="F1190" s="1" t="s">
        <v>2</v>
      </c>
      <c r="G1190" s="1" t="s">
        <v>2</v>
      </c>
    </row>
    <row r="1191" spans="1:8" x14ac:dyDescent="0.25">
      <c r="A1191" s="1" t="s">
        <v>1038</v>
      </c>
      <c r="B1191" s="1" t="s">
        <v>2</v>
      </c>
      <c r="C1191" s="4">
        <v>1531871.22</v>
      </c>
      <c r="D1191" s="4">
        <v>655717.68999999994</v>
      </c>
      <c r="E1191" s="4">
        <f>SUM(E1174:E1189)+E1057+E1068+E1094+E1124+E1128+E1143+E1160+E1172</f>
        <v>1165060.23</v>
      </c>
      <c r="F1191" s="6">
        <f>SUM(F1174:F1189)+F1172+F1160+F1143+F1128+F1124+F1094+F1068+F1057</f>
        <v>4415153.01</v>
      </c>
      <c r="G1191" s="6">
        <f>SUM(G1174:G1189)+G1172+G1160+G1143+G1128+G1124+G1094+G1068+G1057</f>
        <v>5117773.53785</v>
      </c>
    </row>
    <row r="1192" spans="1:8" ht="15" customHeight="1" x14ac:dyDescent="0.25">
      <c r="A1192" s="25" t="s">
        <v>2693</v>
      </c>
      <c r="B1192" s="25"/>
      <c r="C1192" s="33">
        <f>C932+C1017-C1191</f>
        <v>132611.59000000008</v>
      </c>
      <c r="D1192" s="33">
        <f t="shared" ref="D1192:F1192" si="28">D932+D1017-D1191</f>
        <v>-144169.89999999991</v>
      </c>
      <c r="E1192" s="33">
        <f t="shared" si="28"/>
        <v>-387061.14</v>
      </c>
      <c r="F1192" s="33">
        <f t="shared" si="28"/>
        <v>72478.580000000075</v>
      </c>
      <c r="G1192" s="33">
        <f>G932+G1017-G1191</f>
        <v>628705.04215000011</v>
      </c>
      <c r="H1192" s="25"/>
    </row>
    <row r="1193" spans="1:8" x14ac:dyDescent="0.25">
      <c r="A1193" s="1" t="s">
        <v>2</v>
      </c>
      <c r="B1193" s="1" t="s">
        <v>2</v>
      </c>
      <c r="C1193" s="1" t="s">
        <v>2</v>
      </c>
      <c r="D1193" s="1" t="s">
        <v>2</v>
      </c>
      <c r="E1193" s="1"/>
      <c r="F1193" s="1" t="s">
        <v>2</v>
      </c>
      <c r="G1193" s="1" t="s">
        <v>2</v>
      </c>
    </row>
    <row r="1194" spans="1:8" ht="15" customHeight="1" x14ac:dyDescent="0.25">
      <c r="A1194" s="27" t="s">
        <v>2694</v>
      </c>
      <c r="B1194" s="27"/>
      <c r="C1194" s="28">
        <v>577328.09</v>
      </c>
      <c r="D1194" s="28">
        <v>554349.81999999995</v>
      </c>
      <c r="E1194" s="28">
        <v>554349.81999999995</v>
      </c>
      <c r="F1194" s="28">
        <v>554349.81999999995</v>
      </c>
      <c r="G1194" s="28">
        <f>F1217</f>
        <v>408860.81999999995</v>
      </c>
      <c r="H1194" s="27"/>
    </row>
    <row r="1195" spans="1:8" x14ac:dyDescent="0.25">
      <c r="A1195" s="23" t="s">
        <v>1039</v>
      </c>
      <c r="B1195" s="23" t="s">
        <v>2</v>
      </c>
      <c r="C1195" s="29"/>
      <c r="D1195" s="29"/>
      <c r="E1195" s="29"/>
      <c r="F1195" s="29"/>
      <c r="G1195" s="29"/>
      <c r="H1195" s="29"/>
    </row>
    <row r="1196" spans="1:8" x14ac:dyDescent="0.25">
      <c r="A1196" s="23" t="s">
        <v>2026</v>
      </c>
      <c r="B1196" s="23" t="s">
        <v>2</v>
      </c>
      <c r="C1196" s="29"/>
      <c r="D1196" s="29"/>
      <c r="E1196" s="29"/>
      <c r="F1196" s="29"/>
      <c r="G1196" s="29"/>
      <c r="H1196" s="29"/>
    </row>
    <row r="1197" spans="1:8" ht="36" x14ac:dyDescent="0.25">
      <c r="A1197" s="23" t="s">
        <v>2695</v>
      </c>
      <c r="B1197" s="23" t="s">
        <v>2</v>
      </c>
      <c r="C1197" s="29"/>
      <c r="D1197" s="29"/>
      <c r="E1197" s="29"/>
      <c r="F1197" s="29"/>
      <c r="G1197" s="29"/>
      <c r="H1197" s="29"/>
    </row>
    <row r="1198" spans="1:8" x14ac:dyDescent="0.25">
      <c r="A1198" s="30" t="s">
        <v>2696</v>
      </c>
      <c r="B1198" s="30" t="s">
        <v>2697</v>
      </c>
      <c r="C1198" s="31">
        <v>162580.98000000001</v>
      </c>
      <c r="D1198" s="31">
        <v>54487.29</v>
      </c>
      <c r="E1198" s="31">
        <v>91153.79</v>
      </c>
      <c r="F1198" s="31">
        <v>100000</v>
      </c>
      <c r="G1198" s="31">
        <v>100000</v>
      </c>
      <c r="H1198" s="29"/>
    </row>
    <row r="1199" spans="1:8" x14ac:dyDescent="0.25">
      <c r="A1199" s="30" t="s">
        <v>2698</v>
      </c>
      <c r="B1199" s="30" t="s">
        <v>2699</v>
      </c>
      <c r="C1199" s="31">
        <v>0</v>
      </c>
      <c r="D1199" s="31">
        <v>0</v>
      </c>
      <c r="E1199" s="31">
        <v>0</v>
      </c>
      <c r="F1199" s="31">
        <v>0</v>
      </c>
      <c r="G1199" s="31">
        <v>0</v>
      </c>
      <c r="H1199" s="29"/>
    </row>
    <row r="1200" spans="1:8" ht="36" x14ac:dyDescent="0.25">
      <c r="A1200" s="23" t="s">
        <v>2700</v>
      </c>
      <c r="B1200" s="23" t="s">
        <v>2</v>
      </c>
      <c r="C1200" s="32">
        <v>162580.98000000001</v>
      </c>
      <c r="D1200" s="32">
        <v>54487.29</v>
      </c>
      <c r="E1200" s="32">
        <f>E1198+E1199</f>
        <v>91153.79</v>
      </c>
      <c r="F1200" s="32">
        <f>SUM(F1198:F1199)</f>
        <v>100000</v>
      </c>
      <c r="G1200" s="32">
        <f>SUM(G1198:G1199)</f>
        <v>100000</v>
      </c>
      <c r="H1200" s="29"/>
    </row>
    <row r="1201" spans="1:8" x14ac:dyDescent="0.25">
      <c r="A1201" s="23" t="s">
        <v>2</v>
      </c>
      <c r="B1201" s="23" t="s">
        <v>2</v>
      </c>
      <c r="C1201" s="23" t="s">
        <v>2</v>
      </c>
      <c r="D1201" s="23" t="s">
        <v>2</v>
      </c>
      <c r="E1201" s="23"/>
      <c r="F1201" s="23" t="s">
        <v>2</v>
      </c>
      <c r="G1201" s="23" t="s">
        <v>2</v>
      </c>
      <c r="H1201" s="29"/>
    </row>
    <row r="1202" spans="1:8" x14ac:dyDescent="0.25">
      <c r="A1202" s="23" t="s">
        <v>2175</v>
      </c>
      <c r="B1202" s="23" t="s">
        <v>2</v>
      </c>
      <c r="C1202" s="29"/>
      <c r="D1202" s="29"/>
      <c r="E1202" s="29"/>
      <c r="F1202" s="29"/>
      <c r="G1202" s="29"/>
      <c r="H1202" s="29"/>
    </row>
    <row r="1203" spans="1:8" x14ac:dyDescent="0.25">
      <c r="A1203" s="23" t="s">
        <v>2176</v>
      </c>
      <c r="B1203" s="23" t="s">
        <v>2</v>
      </c>
      <c r="C1203" s="29"/>
      <c r="D1203" s="29"/>
      <c r="E1203" s="29"/>
      <c r="F1203" s="29"/>
      <c r="G1203" s="29"/>
      <c r="H1203" s="29"/>
    </row>
    <row r="1204" spans="1:8" x14ac:dyDescent="0.25">
      <c r="A1204" s="30" t="s">
        <v>2701</v>
      </c>
      <c r="B1204" s="30" t="s">
        <v>2409</v>
      </c>
      <c r="C1204" s="31">
        <v>337.85</v>
      </c>
      <c r="D1204" s="31">
        <v>247.95</v>
      </c>
      <c r="E1204" s="31">
        <v>730.18</v>
      </c>
      <c r="F1204" s="31">
        <v>0</v>
      </c>
      <c r="G1204" s="31">
        <v>0</v>
      </c>
      <c r="H1204" s="29"/>
    </row>
    <row r="1205" spans="1:8" x14ac:dyDescent="0.25">
      <c r="A1205" s="30" t="s">
        <v>2702</v>
      </c>
      <c r="B1205" s="30" t="s">
        <v>2703</v>
      </c>
      <c r="C1205" s="31">
        <v>0</v>
      </c>
      <c r="D1205" s="31">
        <v>0</v>
      </c>
      <c r="E1205" s="31">
        <v>0</v>
      </c>
      <c r="F1205" s="31">
        <v>0</v>
      </c>
      <c r="G1205" s="31">
        <v>0</v>
      </c>
      <c r="H1205" s="29"/>
    </row>
    <row r="1206" spans="1:8" ht="24" x14ac:dyDescent="0.25">
      <c r="A1206" s="23" t="s">
        <v>2179</v>
      </c>
      <c r="B1206" s="23" t="s">
        <v>2</v>
      </c>
      <c r="C1206" s="32">
        <v>337.85</v>
      </c>
      <c r="D1206" s="32">
        <v>247.95</v>
      </c>
      <c r="E1206" s="32">
        <f>SUM(E1204:E1205)</f>
        <v>730.18</v>
      </c>
      <c r="F1206" s="32">
        <f>SUM(F1204:F1205)</f>
        <v>0</v>
      </c>
      <c r="G1206" s="32">
        <f>SUM(G1204:G1205)</f>
        <v>0</v>
      </c>
      <c r="H1206" s="29"/>
    </row>
    <row r="1207" spans="1:8" x14ac:dyDescent="0.25">
      <c r="A1207" s="23" t="s">
        <v>2</v>
      </c>
      <c r="B1207" s="23" t="s">
        <v>2</v>
      </c>
      <c r="C1207" s="23" t="s">
        <v>2</v>
      </c>
      <c r="D1207" s="23" t="s">
        <v>2</v>
      </c>
      <c r="E1207" s="23"/>
      <c r="F1207" s="23" t="s">
        <v>2</v>
      </c>
      <c r="G1207" s="23" t="s">
        <v>2</v>
      </c>
      <c r="H1207" s="29"/>
    </row>
    <row r="1208" spans="1:8" ht="24" x14ac:dyDescent="0.25">
      <c r="A1208" s="23" t="s">
        <v>2180</v>
      </c>
      <c r="B1208" s="23" t="s">
        <v>2</v>
      </c>
      <c r="C1208" s="32">
        <v>337.85</v>
      </c>
      <c r="D1208" s="32">
        <v>247.95</v>
      </c>
      <c r="E1208" s="32">
        <f>E1206</f>
        <v>730.18</v>
      </c>
      <c r="F1208" s="32">
        <f>F1206</f>
        <v>0</v>
      </c>
      <c r="G1208" s="32">
        <f>G1206</f>
        <v>0</v>
      </c>
      <c r="H1208" s="29"/>
    </row>
    <row r="1209" spans="1:8" x14ac:dyDescent="0.25">
      <c r="A1209" s="23"/>
      <c r="B1209" s="23"/>
      <c r="C1209" s="32"/>
      <c r="D1209" s="32"/>
      <c r="E1209" s="32"/>
      <c r="F1209" s="32"/>
      <c r="G1209" s="32"/>
      <c r="H1209" s="29"/>
    </row>
    <row r="1210" spans="1:8" x14ac:dyDescent="0.25">
      <c r="A1210" s="23" t="s">
        <v>2047</v>
      </c>
      <c r="B1210" s="23" t="s">
        <v>2</v>
      </c>
      <c r="C1210" s="32">
        <v>162918.82999999999</v>
      </c>
      <c r="D1210" s="32">
        <v>54735.24</v>
      </c>
      <c r="E1210" s="32">
        <f>E1200+E1208</f>
        <v>91883.969999999987</v>
      </c>
      <c r="F1210" s="32">
        <f>F1208+F1200</f>
        <v>100000</v>
      </c>
      <c r="G1210" s="32">
        <f>G1208+G1200</f>
        <v>100000</v>
      </c>
      <c r="H1210" s="29"/>
    </row>
    <row r="1211" spans="1:8" x14ac:dyDescent="0.25">
      <c r="A1211" s="1" t="s">
        <v>740</v>
      </c>
      <c r="B1211" s="1" t="s">
        <v>2</v>
      </c>
      <c r="C1211" s="40"/>
      <c r="F1211" s="40"/>
    </row>
    <row r="1212" spans="1:8" ht="15" customHeight="1" x14ac:dyDescent="0.25">
      <c r="A1212" s="2" t="s">
        <v>1040</v>
      </c>
      <c r="B1212" s="2" t="s">
        <v>1041</v>
      </c>
      <c r="C1212" s="3">
        <v>91813.5</v>
      </c>
      <c r="D1212" s="3">
        <v>0</v>
      </c>
      <c r="E1212" s="3">
        <v>0</v>
      </c>
      <c r="F1212" s="3">
        <v>50000</v>
      </c>
      <c r="G1212" s="5">
        <v>50000</v>
      </c>
    </row>
    <row r="1213" spans="1:8" ht="15" customHeight="1" x14ac:dyDescent="0.25">
      <c r="A1213" s="2" t="s">
        <v>1042</v>
      </c>
      <c r="B1213" s="2" t="s">
        <v>1043</v>
      </c>
      <c r="C1213" s="3">
        <v>70272</v>
      </c>
      <c r="D1213" s="3">
        <v>0</v>
      </c>
      <c r="E1213" s="3">
        <v>0</v>
      </c>
      <c r="F1213" s="3">
        <v>70272</v>
      </c>
      <c r="G1213" s="59">
        <v>0</v>
      </c>
    </row>
    <row r="1214" spans="1:8" x14ac:dyDescent="0.25">
      <c r="A1214" s="2" t="s">
        <v>1044</v>
      </c>
      <c r="B1214" s="2" t="s">
        <v>1045</v>
      </c>
      <c r="C1214" s="3">
        <v>23811.599999999999</v>
      </c>
      <c r="D1214" s="3">
        <v>0</v>
      </c>
      <c r="E1214" s="3">
        <v>1568.21</v>
      </c>
      <c r="F1214" s="3">
        <v>25217</v>
      </c>
      <c r="G1214" s="59">
        <f>G1514</f>
        <v>26730.02</v>
      </c>
    </row>
    <row r="1215" spans="1:8" ht="15" customHeight="1" x14ac:dyDescent="0.25">
      <c r="A1215" s="2" t="s">
        <v>1046</v>
      </c>
      <c r="B1215" s="2" t="s">
        <v>1047</v>
      </c>
      <c r="C1215" s="3">
        <v>0</v>
      </c>
      <c r="D1215" s="3">
        <v>57179.14</v>
      </c>
      <c r="E1215" s="3">
        <v>89946.33</v>
      </c>
      <c r="F1215" s="3">
        <v>100000</v>
      </c>
      <c r="G1215" s="59">
        <v>0</v>
      </c>
    </row>
    <row r="1216" spans="1:8" ht="15" customHeight="1" x14ac:dyDescent="0.25">
      <c r="A1216" s="1" t="s">
        <v>1048</v>
      </c>
      <c r="B1216" s="1" t="s">
        <v>2</v>
      </c>
      <c r="C1216" s="4">
        <v>185897.1</v>
      </c>
      <c r="D1216" s="4">
        <v>57179.14</v>
      </c>
      <c r="E1216" s="4">
        <f>SUM(E1212:E1215)</f>
        <v>91514.540000000008</v>
      </c>
      <c r="F1216" s="6">
        <f>SUM(F1212:F1215)</f>
        <v>245489</v>
      </c>
      <c r="G1216" s="6">
        <f>SUM(G1212:G1215)</f>
        <v>76730.02</v>
      </c>
    </row>
    <row r="1217" spans="1:8" ht="15" customHeight="1" x14ac:dyDescent="0.25">
      <c r="A1217" s="25" t="s">
        <v>2704</v>
      </c>
      <c r="B1217" s="25"/>
      <c r="C1217" s="33">
        <f>C1194+C1210-C1216</f>
        <v>554349.81999999995</v>
      </c>
      <c r="D1217" s="33">
        <f t="shared" ref="D1217:G1217" si="29">D1194+D1210-D1216</f>
        <v>551905.91999999993</v>
      </c>
      <c r="E1217" s="33">
        <f t="shared" si="29"/>
        <v>554719.24999999988</v>
      </c>
      <c r="F1217" s="33">
        <f t="shared" si="29"/>
        <v>408860.81999999995</v>
      </c>
      <c r="G1217" s="33">
        <f t="shared" si="29"/>
        <v>432130.79999999993</v>
      </c>
      <c r="H1217" s="25"/>
    </row>
    <row r="1218" spans="1:8" x14ac:dyDescent="0.25">
      <c r="A1218" s="1" t="s">
        <v>2</v>
      </c>
      <c r="B1218" s="1" t="s">
        <v>2</v>
      </c>
      <c r="C1218" s="1" t="s">
        <v>2</v>
      </c>
      <c r="D1218" s="1" t="s">
        <v>2</v>
      </c>
      <c r="E1218" s="1"/>
      <c r="F1218" s="1" t="s">
        <v>2</v>
      </c>
      <c r="G1218" s="1" t="s">
        <v>2</v>
      </c>
    </row>
    <row r="1219" spans="1:8" x14ac:dyDescent="0.25">
      <c r="A1219" s="27" t="s">
        <v>2705</v>
      </c>
      <c r="B1219" s="27"/>
      <c r="C1219" s="28">
        <v>1058184.67</v>
      </c>
      <c r="D1219" s="28">
        <v>1360447.98</v>
      </c>
      <c r="E1219" s="28">
        <v>1360447.98</v>
      </c>
      <c r="F1219" s="28">
        <v>1360447.98</v>
      </c>
      <c r="G1219" s="28">
        <f>F1248</f>
        <v>855447.98</v>
      </c>
      <c r="H1219" s="27"/>
    </row>
    <row r="1220" spans="1:8" x14ac:dyDescent="0.25">
      <c r="A1220" s="23" t="s">
        <v>1049</v>
      </c>
      <c r="B1220" s="23" t="s">
        <v>2</v>
      </c>
      <c r="C1220" s="29"/>
      <c r="D1220" s="29"/>
      <c r="E1220" s="29"/>
      <c r="F1220" s="29"/>
      <c r="G1220" s="29"/>
      <c r="H1220" s="29"/>
    </row>
    <row r="1221" spans="1:8" x14ac:dyDescent="0.25">
      <c r="A1221" s="23" t="s">
        <v>2026</v>
      </c>
      <c r="B1221" s="23" t="s">
        <v>2</v>
      </c>
      <c r="C1221" s="29"/>
      <c r="D1221" s="29"/>
      <c r="E1221" s="29"/>
      <c r="F1221" s="29"/>
      <c r="G1221" s="29"/>
      <c r="H1221" s="29"/>
    </row>
    <row r="1222" spans="1:8" ht="24" x14ac:dyDescent="0.25">
      <c r="A1222" s="23" t="s">
        <v>2706</v>
      </c>
      <c r="B1222" s="23" t="s">
        <v>2</v>
      </c>
      <c r="C1222" s="29"/>
      <c r="D1222" s="29"/>
      <c r="E1222" s="29"/>
      <c r="F1222" s="29"/>
      <c r="G1222" s="29"/>
      <c r="H1222" s="29"/>
    </row>
    <row r="1223" spans="1:8" x14ac:dyDescent="0.25">
      <c r="A1223" s="23" t="s">
        <v>2707</v>
      </c>
      <c r="B1223" s="23" t="s">
        <v>2</v>
      </c>
      <c r="C1223" s="29"/>
      <c r="D1223" s="29"/>
      <c r="E1223" s="29"/>
      <c r="F1223" s="29"/>
      <c r="G1223" s="29"/>
      <c r="H1223" s="29"/>
    </row>
    <row r="1224" spans="1:8" x14ac:dyDescent="0.25">
      <c r="A1224" s="30" t="s">
        <v>2708</v>
      </c>
      <c r="B1224" s="30" t="s">
        <v>2709</v>
      </c>
      <c r="C1224" s="31">
        <v>0</v>
      </c>
      <c r="D1224" s="31">
        <v>0</v>
      </c>
      <c r="E1224" s="31">
        <v>0</v>
      </c>
      <c r="F1224" s="31">
        <v>0</v>
      </c>
      <c r="G1224" s="31">
        <v>0</v>
      </c>
      <c r="H1224" s="29"/>
    </row>
    <row r="1225" spans="1:8" x14ac:dyDescent="0.25">
      <c r="A1225" s="23" t="s">
        <v>2710</v>
      </c>
      <c r="B1225" s="23" t="s">
        <v>2</v>
      </c>
      <c r="C1225" s="32">
        <v>0</v>
      </c>
      <c r="D1225" s="32">
        <v>0</v>
      </c>
      <c r="E1225" s="32">
        <f>E1224</f>
        <v>0</v>
      </c>
      <c r="F1225" s="32">
        <f>SUM(F1224)</f>
        <v>0</v>
      </c>
      <c r="G1225" s="32">
        <f>SUM(G1224)</f>
        <v>0</v>
      </c>
      <c r="H1225" s="29"/>
    </row>
    <row r="1226" spans="1:8" x14ac:dyDescent="0.25">
      <c r="A1226" s="23" t="s">
        <v>2</v>
      </c>
      <c r="B1226" s="23" t="s">
        <v>2</v>
      </c>
      <c r="C1226" s="23" t="s">
        <v>2</v>
      </c>
      <c r="D1226" s="23" t="s">
        <v>2</v>
      </c>
      <c r="E1226" s="23"/>
      <c r="F1226" s="23" t="s">
        <v>2</v>
      </c>
      <c r="G1226" s="23" t="s">
        <v>2</v>
      </c>
      <c r="H1226" s="29"/>
    </row>
    <row r="1227" spans="1:8" x14ac:dyDescent="0.25">
      <c r="A1227" s="23" t="s">
        <v>2711</v>
      </c>
      <c r="B1227" s="23" t="s">
        <v>2</v>
      </c>
      <c r="C1227" s="29"/>
      <c r="D1227" s="29"/>
      <c r="E1227" s="29"/>
      <c r="F1227" s="29"/>
      <c r="G1227" s="29"/>
      <c r="H1227" s="29"/>
    </row>
    <row r="1228" spans="1:8" ht="24" x14ac:dyDescent="0.25">
      <c r="A1228" s="23" t="s">
        <v>2712</v>
      </c>
      <c r="B1228" s="23" t="s">
        <v>2</v>
      </c>
      <c r="C1228" s="29"/>
      <c r="D1228" s="29"/>
      <c r="E1228" s="29"/>
      <c r="F1228" s="29"/>
      <c r="G1228" s="29"/>
      <c r="H1228" s="29"/>
    </row>
    <row r="1229" spans="1:8" x14ac:dyDescent="0.25">
      <c r="A1229" s="30" t="s">
        <v>2713</v>
      </c>
      <c r="B1229" s="30" t="s">
        <v>2714</v>
      </c>
      <c r="C1229" s="31">
        <v>521184.97</v>
      </c>
      <c r="D1229" s="31">
        <v>137989</v>
      </c>
      <c r="E1229" s="31">
        <v>346508</v>
      </c>
      <c r="F1229" s="31">
        <v>400000</v>
      </c>
      <c r="G1229" s="31">
        <v>400000</v>
      </c>
      <c r="H1229" s="29"/>
    </row>
    <row r="1230" spans="1:8" x14ac:dyDescent="0.25">
      <c r="A1230" s="30" t="s">
        <v>2715</v>
      </c>
      <c r="B1230" s="30" t="s">
        <v>2716</v>
      </c>
      <c r="C1230" s="31">
        <v>0</v>
      </c>
      <c r="D1230" s="31">
        <v>0</v>
      </c>
      <c r="E1230" s="31">
        <v>0</v>
      </c>
      <c r="F1230" s="31">
        <v>0</v>
      </c>
      <c r="G1230" s="31">
        <v>0</v>
      </c>
      <c r="H1230" s="29"/>
    </row>
    <row r="1231" spans="1:8" x14ac:dyDescent="0.25">
      <c r="A1231" s="30" t="s">
        <v>2717</v>
      </c>
      <c r="B1231" s="30" t="s">
        <v>2718</v>
      </c>
      <c r="C1231" s="31">
        <v>0</v>
      </c>
      <c r="D1231" s="31">
        <v>0</v>
      </c>
      <c r="E1231" s="31">
        <v>0</v>
      </c>
      <c r="F1231" s="31">
        <v>0</v>
      </c>
      <c r="G1231" s="31">
        <v>0</v>
      </c>
      <c r="H1231" s="29"/>
    </row>
    <row r="1232" spans="1:8" ht="24" x14ac:dyDescent="0.25">
      <c r="A1232" s="23" t="s">
        <v>2719</v>
      </c>
      <c r="B1232" s="23" t="s">
        <v>2</v>
      </c>
      <c r="C1232" s="32">
        <v>521184.97</v>
      </c>
      <c r="D1232" s="32">
        <v>137989</v>
      </c>
      <c r="E1232" s="32">
        <f>SUM(E1229:E1231)</f>
        <v>346508</v>
      </c>
      <c r="F1232" s="32">
        <f>SUM(F1229:F1231)</f>
        <v>400000</v>
      </c>
      <c r="G1232" s="32">
        <f>SUM(G1229:G1231)</f>
        <v>400000</v>
      </c>
      <c r="H1232" s="29"/>
    </row>
    <row r="1233" spans="1:8" x14ac:dyDescent="0.25">
      <c r="A1233" s="23" t="s">
        <v>2</v>
      </c>
      <c r="B1233" s="23" t="s">
        <v>2</v>
      </c>
      <c r="C1233" s="23" t="s">
        <v>2</v>
      </c>
      <c r="D1233" s="23" t="s">
        <v>2</v>
      </c>
      <c r="E1233" s="23"/>
      <c r="F1233" s="23" t="s">
        <v>2</v>
      </c>
      <c r="G1233" s="23" t="s">
        <v>2</v>
      </c>
      <c r="H1233" s="29"/>
    </row>
    <row r="1234" spans="1:8" x14ac:dyDescent="0.25">
      <c r="A1234" s="23" t="s">
        <v>2175</v>
      </c>
      <c r="B1234" s="23" t="s">
        <v>2</v>
      </c>
      <c r="C1234" s="29"/>
      <c r="D1234" s="29"/>
      <c r="E1234" s="29"/>
      <c r="F1234" s="29"/>
      <c r="G1234" s="29"/>
      <c r="H1234" s="29"/>
    </row>
    <row r="1235" spans="1:8" x14ac:dyDescent="0.25">
      <c r="A1235" s="23" t="s">
        <v>2176</v>
      </c>
      <c r="B1235" s="23" t="s">
        <v>2</v>
      </c>
      <c r="C1235" s="29"/>
      <c r="D1235" s="29"/>
      <c r="E1235" s="29"/>
      <c r="F1235" s="29"/>
      <c r="G1235" s="29"/>
      <c r="H1235" s="29"/>
    </row>
    <row r="1236" spans="1:8" x14ac:dyDescent="0.25">
      <c r="A1236" s="30" t="s">
        <v>2722</v>
      </c>
      <c r="B1236" s="30" t="s">
        <v>2409</v>
      </c>
      <c r="C1236" s="31">
        <v>876.19</v>
      </c>
      <c r="D1236" s="31">
        <v>623.76</v>
      </c>
      <c r="E1236" s="31">
        <v>1836.88</v>
      </c>
      <c r="F1236" s="31">
        <v>0</v>
      </c>
      <c r="G1236" s="31">
        <v>500</v>
      </c>
      <c r="H1236" s="29"/>
    </row>
    <row r="1237" spans="1:8" x14ac:dyDescent="0.25">
      <c r="A1237" s="30" t="s">
        <v>2723</v>
      </c>
      <c r="B1237" s="30" t="s">
        <v>2703</v>
      </c>
      <c r="C1237" s="31">
        <v>0</v>
      </c>
      <c r="D1237" s="31">
        <v>0</v>
      </c>
      <c r="E1237" s="31">
        <v>0</v>
      </c>
      <c r="F1237" s="31">
        <v>0</v>
      </c>
      <c r="G1237" s="31">
        <v>0</v>
      </c>
      <c r="H1237" s="29"/>
    </row>
    <row r="1238" spans="1:8" ht="24" x14ac:dyDescent="0.25">
      <c r="A1238" s="23" t="s">
        <v>2179</v>
      </c>
      <c r="B1238" s="23" t="s">
        <v>2</v>
      </c>
      <c r="C1238" s="32">
        <v>876.19</v>
      </c>
      <c r="D1238" s="32">
        <v>623.76</v>
      </c>
      <c r="E1238" s="32">
        <f>SUM(E1236:E1237)</f>
        <v>1836.88</v>
      </c>
      <c r="F1238" s="32">
        <f>SUM(F1236:F1237)</f>
        <v>0</v>
      </c>
      <c r="G1238" s="32">
        <f>SUM(G1236:G1237)</f>
        <v>500</v>
      </c>
      <c r="H1238" s="29"/>
    </row>
    <row r="1239" spans="1:8" x14ac:dyDescent="0.25">
      <c r="A1239" s="23" t="s">
        <v>2</v>
      </c>
      <c r="B1239" s="23" t="s">
        <v>2</v>
      </c>
      <c r="C1239" s="23" t="s">
        <v>2</v>
      </c>
      <c r="D1239" s="23" t="s">
        <v>2</v>
      </c>
      <c r="E1239" s="23"/>
      <c r="F1239" s="23" t="s">
        <v>2</v>
      </c>
      <c r="G1239" s="23" t="s">
        <v>2</v>
      </c>
      <c r="H1239" s="29"/>
    </row>
    <row r="1240" spans="1:8" x14ac:dyDescent="0.25">
      <c r="A1240" s="23" t="s">
        <v>2047</v>
      </c>
      <c r="B1240" s="23" t="s">
        <v>2</v>
      </c>
      <c r="C1240" s="32">
        <v>522061.16</v>
      </c>
      <c r="D1240" s="32">
        <v>138612.76</v>
      </c>
      <c r="E1240" s="32">
        <f>E1225+E1232+E1238</f>
        <v>348344.88</v>
      </c>
      <c r="F1240" s="32">
        <f>F1238+F1232+F1225</f>
        <v>400000</v>
      </c>
      <c r="G1240" s="32">
        <f>G1238+G1232+G1225</f>
        <v>400500</v>
      </c>
      <c r="H1240" s="29"/>
    </row>
    <row r="1241" spans="1:8" ht="15" customHeight="1" x14ac:dyDescent="0.25">
      <c r="A1241" s="1" t="s">
        <v>740</v>
      </c>
      <c r="B1241" s="1" t="s">
        <v>2</v>
      </c>
      <c r="C1241" s="41"/>
    </row>
    <row r="1242" spans="1:8" ht="15" customHeight="1" x14ac:dyDescent="0.25">
      <c r="A1242" s="2" t="s">
        <v>1050</v>
      </c>
      <c r="B1242" s="2" t="s">
        <v>1051</v>
      </c>
      <c r="C1242" s="3">
        <v>0</v>
      </c>
      <c r="D1242" s="3">
        <v>0</v>
      </c>
      <c r="E1242" s="3">
        <v>0</v>
      </c>
      <c r="F1242" s="3">
        <v>0</v>
      </c>
      <c r="G1242" s="59">
        <v>0</v>
      </c>
    </row>
    <row r="1243" spans="1:8" ht="15" customHeight="1" x14ac:dyDescent="0.25">
      <c r="A1243" s="2" t="s">
        <v>1052</v>
      </c>
      <c r="B1243" s="2" t="s">
        <v>1053</v>
      </c>
      <c r="C1243" s="3">
        <v>0</v>
      </c>
      <c r="D1243" s="3">
        <v>0</v>
      </c>
      <c r="E1243" s="3">
        <v>0</v>
      </c>
      <c r="F1243" s="3">
        <v>0</v>
      </c>
      <c r="G1243" s="59">
        <v>0</v>
      </c>
    </row>
    <row r="1244" spans="1:8" ht="15" customHeight="1" x14ac:dyDescent="0.25">
      <c r="A1244" s="2" t="s">
        <v>1054</v>
      </c>
      <c r="B1244" s="2" t="s">
        <v>1055</v>
      </c>
      <c r="C1244" s="3">
        <v>6838.6</v>
      </c>
      <c r="D1244" s="3">
        <v>18215.52</v>
      </c>
      <c r="E1244" s="3">
        <v>18215.52</v>
      </c>
      <c r="F1244" s="3">
        <v>0</v>
      </c>
      <c r="G1244" s="59">
        <v>0</v>
      </c>
    </row>
    <row r="1245" spans="1:8" x14ac:dyDescent="0.25">
      <c r="A1245" s="2" t="s">
        <v>1056</v>
      </c>
      <c r="B1245" s="2" t="s">
        <v>1057</v>
      </c>
      <c r="C1245" s="3">
        <v>0</v>
      </c>
      <c r="D1245" s="3">
        <v>0</v>
      </c>
      <c r="E1245" s="3">
        <v>0</v>
      </c>
      <c r="F1245" s="3">
        <v>0</v>
      </c>
      <c r="G1245" s="59">
        <v>0</v>
      </c>
    </row>
    <row r="1246" spans="1:8" ht="15" customHeight="1" x14ac:dyDescent="0.25">
      <c r="A1246" s="2" t="s">
        <v>1058</v>
      </c>
      <c r="B1246" s="2" t="s">
        <v>1059</v>
      </c>
      <c r="C1246" s="3">
        <v>212959.25</v>
      </c>
      <c r="D1246" s="3">
        <v>60537.73</v>
      </c>
      <c r="E1246" s="3">
        <v>127065.67</v>
      </c>
      <c r="F1246" s="3">
        <v>905000</v>
      </c>
      <c r="G1246" s="59">
        <v>0</v>
      </c>
    </row>
    <row r="1247" spans="1:8" ht="15" customHeight="1" x14ac:dyDescent="0.25">
      <c r="A1247" s="1" t="s">
        <v>1060</v>
      </c>
      <c r="B1247" s="1" t="s">
        <v>2</v>
      </c>
      <c r="C1247" s="4">
        <v>219797.85</v>
      </c>
      <c r="D1247" s="4">
        <v>78753.25</v>
      </c>
      <c r="E1247" s="4">
        <f>SUM(E1242:E1246)</f>
        <v>145281.19</v>
      </c>
      <c r="F1247" s="6">
        <f>SUM(F1242:F1246)</f>
        <v>905000</v>
      </c>
      <c r="G1247" s="6">
        <f>SUM(G1242:G1246)</f>
        <v>0</v>
      </c>
    </row>
    <row r="1248" spans="1:8" ht="15" customHeight="1" x14ac:dyDescent="0.25">
      <c r="A1248" s="25" t="s">
        <v>2726</v>
      </c>
      <c r="B1248" s="25"/>
      <c r="C1248" s="33">
        <f>C1219+C1240-C1247</f>
        <v>1360447.9799999997</v>
      </c>
      <c r="D1248" s="33">
        <f t="shared" ref="D1248:G1248" si="30">D1219+D1240-D1247</f>
        <v>1420307.49</v>
      </c>
      <c r="E1248" s="33">
        <f t="shared" si="30"/>
        <v>1563511.67</v>
      </c>
      <c r="F1248" s="33">
        <f t="shared" si="30"/>
        <v>855447.98</v>
      </c>
      <c r="G1248" s="33">
        <f t="shared" si="30"/>
        <v>1255947.98</v>
      </c>
      <c r="H1248" s="33"/>
    </row>
    <row r="1249" spans="1:8" x14ac:dyDescent="0.25">
      <c r="A1249" s="1" t="s">
        <v>2</v>
      </c>
      <c r="B1249" s="1" t="s">
        <v>2</v>
      </c>
      <c r="C1249" s="1" t="s">
        <v>2</v>
      </c>
      <c r="D1249" s="1" t="s">
        <v>2</v>
      </c>
      <c r="E1249" s="1"/>
      <c r="F1249" s="1" t="s">
        <v>2</v>
      </c>
      <c r="G1249" s="1" t="s">
        <v>2</v>
      </c>
    </row>
    <row r="1250" spans="1:8" ht="15" customHeight="1" x14ac:dyDescent="0.25">
      <c r="A1250" s="27" t="s">
        <v>2727</v>
      </c>
      <c r="B1250" s="27"/>
      <c r="C1250" s="28">
        <v>8247.19</v>
      </c>
      <c r="D1250" s="28">
        <v>5259.25</v>
      </c>
      <c r="E1250" s="28">
        <v>5259.25</v>
      </c>
      <c r="F1250" s="28">
        <v>5259.25</v>
      </c>
      <c r="G1250" s="28">
        <f>F1272</f>
        <v>4539.25</v>
      </c>
      <c r="H1250" s="28"/>
    </row>
    <row r="1251" spans="1:8" x14ac:dyDescent="0.25">
      <c r="A1251" s="23" t="s">
        <v>1061</v>
      </c>
      <c r="B1251" s="23" t="s">
        <v>2</v>
      </c>
      <c r="C1251" s="29"/>
      <c r="D1251" s="29"/>
      <c r="E1251" s="29"/>
      <c r="F1251" s="29"/>
      <c r="G1251" s="29"/>
      <c r="H1251" s="29"/>
    </row>
    <row r="1252" spans="1:8" x14ac:dyDescent="0.25">
      <c r="A1252" s="23" t="s">
        <v>2026</v>
      </c>
      <c r="B1252" s="23" t="s">
        <v>2</v>
      </c>
      <c r="C1252" s="29"/>
      <c r="D1252" s="29"/>
      <c r="E1252" s="29"/>
      <c r="F1252" s="29"/>
      <c r="G1252" s="29"/>
      <c r="H1252" s="29"/>
    </row>
    <row r="1253" spans="1:8" x14ac:dyDescent="0.25">
      <c r="A1253" s="23" t="s">
        <v>2102</v>
      </c>
      <c r="B1253" s="23" t="s">
        <v>2</v>
      </c>
      <c r="C1253" s="29"/>
      <c r="D1253" s="29"/>
      <c r="E1253" s="29"/>
      <c r="F1253" s="29"/>
      <c r="G1253" s="29"/>
      <c r="H1253" s="29"/>
    </row>
    <row r="1254" spans="1:8" ht="24" x14ac:dyDescent="0.25">
      <c r="A1254" s="23" t="s">
        <v>2160</v>
      </c>
      <c r="B1254" s="23" t="s">
        <v>2</v>
      </c>
      <c r="C1254" s="29"/>
      <c r="D1254" s="29"/>
      <c r="E1254" s="29"/>
      <c r="F1254" s="29"/>
      <c r="G1254" s="29"/>
      <c r="H1254" s="29"/>
    </row>
    <row r="1255" spans="1:8" x14ac:dyDescent="0.25">
      <c r="A1255" s="30" t="s">
        <v>2728</v>
      </c>
      <c r="B1255" s="30" t="s">
        <v>2729</v>
      </c>
      <c r="C1255" s="31">
        <v>4826.3999999999996</v>
      </c>
      <c r="D1255" s="31">
        <v>2592.2600000000002</v>
      </c>
      <c r="E1255" s="31">
        <v>3971.18</v>
      </c>
      <c r="F1255" s="31">
        <v>5345</v>
      </c>
      <c r="G1255" s="31">
        <v>5000</v>
      </c>
      <c r="H1255" s="29"/>
    </row>
    <row r="1256" spans="1:8" x14ac:dyDescent="0.25">
      <c r="A1256" s="30" t="s">
        <v>2730</v>
      </c>
      <c r="B1256" s="30" t="s">
        <v>2731</v>
      </c>
      <c r="C1256" s="31">
        <v>17185.66</v>
      </c>
      <c r="D1256" s="31">
        <v>9213.41</v>
      </c>
      <c r="E1256" s="31">
        <v>14091.85</v>
      </c>
      <c r="F1256" s="31">
        <v>18935</v>
      </c>
      <c r="G1256" s="31">
        <v>17000</v>
      </c>
      <c r="H1256" s="29"/>
    </row>
    <row r="1257" spans="1:8" ht="24" x14ac:dyDescent="0.25">
      <c r="A1257" s="23" t="s">
        <v>2171</v>
      </c>
      <c r="B1257" s="23" t="s">
        <v>2</v>
      </c>
      <c r="C1257" s="32">
        <v>22012.06</v>
      </c>
      <c r="D1257" s="32">
        <v>11805.67</v>
      </c>
      <c r="E1257" s="32">
        <f>SUM(E1255:E1256)</f>
        <v>18063.03</v>
      </c>
      <c r="F1257" s="32">
        <f>SUM(F1255:F1256)</f>
        <v>24280</v>
      </c>
      <c r="G1257" s="32">
        <f>SUM(G1255:G1256)</f>
        <v>22000</v>
      </c>
      <c r="H1257" s="29"/>
    </row>
    <row r="1258" spans="1:8" x14ac:dyDescent="0.25">
      <c r="A1258" s="23" t="s">
        <v>2</v>
      </c>
      <c r="B1258" s="23" t="s">
        <v>2</v>
      </c>
      <c r="C1258" s="23" t="s">
        <v>2</v>
      </c>
      <c r="D1258" s="23" t="s">
        <v>2</v>
      </c>
      <c r="E1258" s="23"/>
      <c r="F1258" s="23" t="s">
        <v>2</v>
      </c>
      <c r="G1258" s="23" t="s">
        <v>2</v>
      </c>
      <c r="H1258" s="29"/>
    </row>
    <row r="1259" spans="1:8" x14ac:dyDescent="0.25">
      <c r="A1259" s="23" t="s">
        <v>2175</v>
      </c>
      <c r="B1259" s="23" t="s">
        <v>2</v>
      </c>
      <c r="C1259" s="29"/>
      <c r="D1259" s="29"/>
      <c r="E1259" s="29"/>
      <c r="F1259" s="29"/>
      <c r="G1259" s="29"/>
      <c r="H1259" s="29"/>
    </row>
    <row r="1260" spans="1:8" x14ac:dyDescent="0.25">
      <c r="A1260" s="23" t="s">
        <v>2176</v>
      </c>
      <c r="B1260" s="23" t="s">
        <v>2</v>
      </c>
      <c r="C1260" s="29"/>
      <c r="D1260" s="29"/>
      <c r="E1260" s="29"/>
      <c r="F1260" s="29"/>
      <c r="G1260" s="29"/>
      <c r="H1260" s="29"/>
    </row>
    <row r="1261" spans="1:8" x14ac:dyDescent="0.25">
      <c r="A1261" s="23" t="s">
        <v>2570</v>
      </c>
      <c r="B1261" s="23" t="s">
        <v>2</v>
      </c>
      <c r="C1261" s="29"/>
      <c r="D1261" s="29"/>
      <c r="E1261" s="29"/>
      <c r="F1261" s="29"/>
      <c r="G1261" s="29"/>
      <c r="H1261" s="29"/>
    </row>
    <row r="1262" spans="1:8" x14ac:dyDescent="0.25">
      <c r="A1262" s="30" t="s">
        <v>2732</v>
      </c>
      <c r="B1262" s="30" t="s">
        <v>2409</v>
      </c>
      <c r="C1262" s="31">
        <v>0</v>
      </c>
      <c r="D1262" s="31">
        <v>0</v>
      </c>
      <c r="E1262" s="31">
        <v>0</v>
      </c>
      <c r="F1262" s="31">
        <v>0</v>
      </c>
      <c r="G1262" s="31">
        <v>0</v>
      </c>
      <c r="H1262" s="29"/>
    </row>
    <row r="1263" spans="1:8" x14ac:dyDescent="0.25">
      <c r="A1263" s="23" t="s">
        <v>2564</v>
      </c>
      <c r="B1263" s="23" t="s">
        <v>2</v>
      </c>
      <c r="C1263" s="32">
        <v>0</v>
      </c>
      <c r="D1263" s="32">
        <v>0</v>
      </c>
      <c r="E1263" s="32">
        <f>E1262</f>
        <v>0</v>
      </c>
      <c r="F1263" s="32">
        <f>SUM(F1262)</f>
        <v>0</v>
      </c>
      <c r="G1263" s="32">
        <f>SUM(G1262)</f>
        <v>0</v>
      </c>
      <c r="H1263" s="29"/>
    </row>
    <row r="1264" spans="1:8" x14ac:dyDescent="0.25">
      <c r="A1264" s="23" t="s">
        <v>2</v>
      </c>
      <c r="B1264" s="23" t="s">
        <v>2</v>
      </c>
      <c r="C1264" s="23" t="s">
        <v>2</v>
      </c>
      <c r="D1264" s="23" t="s">
        <v>2</v>
      </c>
      <c r="E1264" s="23"/>
      <c r="F1264" s="23" t="s">
        <v>2</v>
      </c>
      <c r="G1264" s="23" t="s">
        <v>2</v>
      </c>
      <c r="H1264" s="29"/>
    </row>
    <row r="1265" spans="1:8" x14ac:dyDescent="0.25">
      <c r="A1265" s="23" t="s">
        <v>2047</v>
      </c>
      <c r="B1265" s="23" t="s">
        <v>2</v>
      </c>
      <c r="C1265" s="32">
        <v>22012.06</v>
      </c>
      <c r="D1265" s="32">
        <v>11805.67</v>
      </c>
      <c r="E1265" s="32">
        <f>E1257+E1263</f>
        <v>18063.03</v>
      </c>
      <c r="F1265" s="32">
        <f>F1257+F1263</f>
        <v>24280</v>
      </c>
      <c r="G1265" s="32">
        <f>G1257+G1263</f>
        <v>22000</v>
      </c>
      <c r="H1265" s="29"/>
    </row>
    <row r="1266" spans="1:8" ht="15" customHeight="1" x14ac:dyDescent="0.25">
      <c r="A1266" s="1" t="s">
        <v>740</v>
      </c>
      <c r="B1266" s="1" t="s">
        <v>2</v>
      </c>
    </row>
    <row r="1267" spans="1:8" ht="15" customHeight="1" x14ac:dyDescent="0.25">
      <c r="A1267" s="1" t="s">
        <v>706</v>
      </c>
      <c r="B1267" s="1" t="s">
        <v>2</v>
      </c>
    </row>
    <row r="1268" spans="1:8" ht="15" customHeight="1" x14ac:dyDescent="0.25">
      <c r="A1268" s="2" t="s">
        <v>1062</v>
      </c>
      <c r="B1268" s="2" t="s">
        <v>742</v>
      </c>
      <c r="C1268" s="3">
        <v>25000</v>
      </c>
      <c r="D1268" s="3">
        <v>0</v>
      </c>
      <c r="E1268" s="3">
        <v>0</v>
      </c>
      <c r="F1268" s="3">
        <v>25000</v>
      </c>
      <c r="G1268" s="5">
        <v>25000</v>
      </c>
    </row>
    <row r="1269" spans="1:8" ht="15" customHeight="1" x14ac:dyDescent="0.25">
      <c r="A1269" s="1" t="s">
        <v>737</v>
      </c>
      <c r="B1269" s="1" t="s">
        <v>2</v>
      </c>
      <c r="C1269" s="4">
        <v>25000</v>
      </c>
      <c r="D1269" s="4">
        <v>0</v>
      </c>
      <c r="E1269" s="4">
        <f>E1268</f>
        <v>0</v>
      </c>
      <c r="F1269" s="6">
        <f>SUM(F1268)</f>
        <v>25000</v>
      </c>
      <c r="G1269" s="6">
        <f>SUM(G1268)</f>
        <v>25000</v>
      </c>
    </row>
    <row r="1270" spans="1:8" x14ac:dyDescent="0.25">
      <c r="A1270" s="1" t="s">
        <v>2</v>
      </c>
      <c r="B1270" s="1" t="s">
        <v>2</v>
      </c>
      <c r="C1270" s="1" t="s">
        <v>2</v>
      </c>
      <c r="D1270" s="1" t="s">
        <v>2</v>
      </c>
      <c r="E1270" s="1"/>
      <c r="F1270" s="1" t="s">
        <v>2</v>
      </c>
      <c r="G1270" s="1" t="s">
        <v>2</v>
      </c>
    </row>
    <row r="1271" spans="1:8" ht="15" customHeight="1" x14ac:dyDescent="0.25">
      <c r="A1271" s="1" t="s">
        <v>1063</v>
      </c>
      <c r="B1271" s="1" t="s">
        <v>2</v>
      </c>
      <c r="C1271" s="4">
        <v>25000</v>
      </c>
      <c r="D1271" s="4">
        <v>0</v>
      </c>
      <c r="E1271" s="4">
        <f>E1269</f>
        <v>0</v>
      </c>
      <c r="F1271" s="6">
        <f>F1269</f>
        <v>25000</v>
      </c>
      <c r="G1271" s="6">
        <f>G1269</f>
        <v>25000</v>
      </c>
    </row>
    <row r="1272" spans="1:8" ht="15" customHeight="1" x14ac:dyDescent="0.25">
      <c r="A1272" s="25" t="s">
        <v>2733</v>
      </c>
      <c r="B1272" s="25"/>
      <c r="C1272" s="33">
        <f>C1250+C1265-C1271</f>
        <v>5259.25</v>
      </c>
      <c r="D1272" s="33">
        <f t="shared" ref="D1272:G1272" si="31">D1250+D1265-D1271</f>
        <v>17064.919999999998</v>
      </c>
      <c r="E1272" s="33">
        <f t="shared" si="31"/>
        <v>23322.28</v>
      </c>
      <c r="F1272" s="33">
        <f t="shared" si="31"/>
        <v>4539.25</v>
      </c>
      <c r="G1272" s="33">
        <f t="shared" si="31"/>
        <v>1539.25</v>
      </c>
      <c r="H1272" s="25"/>
    </row>
    <row r="1273" spans="1:8" x14ac:dyDescent="0.25">
      <c r="A1273" s="1" t="s">
        <v>2</v>
      </c>
      <c r="B1273" s="1" t="s">
        <v>2</v>
      </c>
      <c r="C1273" s="1" t="s">
        <v>2</v>
      </c>
      <c r="D1273" s="1" t="s">
        <v>2</v>
      </c>
      <c r="E1273" s="1"/>
      <c r="F1273" s="1" t="s">
        <v>2</v>
      </c>
      <c r="G1273" s="1" t="s">
        <v>2</v>
      </c>
    </row>
    <row r="1274" spans="1:8" ht="15" customHeight="1" x14ac:dyDescent="0.25">
      <c r="A1274" s="27" t="s">
        <v>2734</v>
      </c>
      <c r="B1274" s="27"/>
      <c r="C1274" s="28">
        <v>116792.05</v>
      </c>
      <c r="D1274" s="28">
        <v>182620.85</v>
      </c>
      <c r="E1274" s="28">
        <v>182620.85</v>
      </c>
      <c r="F1274" s="28">
        <v>182620.85</v>
      </c>
      <c r="G1274" s="28">
        <f>F1291</f>
        <v>172620.84999999998</v>
      </c>
      <c r="H1274" s="27"/>
    </row>
    <row r="1275" spans="1:8" x14ac:dyDescent="0.25">
      <c r="A1275" s="23" t="s">
        <v>1064</v>
      </c>
      <c r="B1275" s="23" t="s">
        <v>2</v>
      </c>
      <c r="C1275" s="29"/>
      <c r="D1275" s="29"/>
      <c r="E1275" s="29"/>
      <c r="F1275" s="29"/>
      <c r="G1275" s="29"/>
      <c r="H1275" s="29"/>
    </row>
    <row r="1276" spans="1:8" x14ac:dyDescent="0.25">
      <c r="A1276" s="23" t="s">
        <v>2026</v>
      </c>
      <c r="B1276" s="23" t="s">
        <v>2</v>
      </c>
      <c r="C1276" s="29"/>
      <c r="D1276" s="29"/>
      <c r="E1276" s="29"/>
      <c r="F1276" s="29"/>
      <c r="G1276" s="29"/>
      <c r="H1276" s="29"/>
    </row>
    <row r="1277" spans="1:8" x14ac:dyDescent="0.25">
      <c r="A1277" s="23" t="s">
        <v>2027</v>
      </c>
      <c r="B1277" s="23" t="s">
        <v>2</v>
      </c>
      <c r="C1277" s="29"/>
      <c r="D1277" s="29"/>
      <c r="E1277" s="29"/>
      <c r="F1277" s="29"/>
      <c r="G1277" s="29"/>
      <c r="H1277" s="29"/>
    </row>
    <row r="1278" spans="1:8" x14ac:dyDescent="0.25">
      <c r="A1278" s="30" t="s">
        <v>2735</v>
      </c>
      <c r="B1278" s="30" t="s">
        <v>2736</v>
      </c>
      <c r="C1278" s="31">
        <v>335828.8</v>
      </c>
      <c r="D1278" s="31">
        <v>152774.37</v>
      </c>
      <c r="E1278" s="31">
        <v>290327.53999999998</v>
      </c>
      <c r="F1278" s="31">
        <v>260000</v>
      </c>
      <c r="G1278" s="31">
        <v>300000</v>
      </c>
      <c r="H1278" s="29"/>
    </row>
    <row r="1279" spans="1:8" x14ac:dyDescent="0.25">
      <c r="A1279" s="23" t="s">
        <v>2046</v>
      </c>
      <c r="B1279" s="23" t="s">
        <v>2</v>
      </c>
      <c r="C1279" s="32">
        <v>335828.8</v>
      </c>
      <c r="D1279" s="32">
        <v>152774.37</v>
      </c>
      <c r="E1279" s="32">
        <f>E1278</f>
        <v>290327.53999999998</v>
      </c>
      <c r="F1279" s="32">
        <f>SUM(F1278)</f>
        <v>260000</v>
      </c>
      <c r="G1279" s="32">
        <f>SUM(G1278)</f>
        <v>300000</v>
      </c>
      <c r="H1279" s="29"/>
    </row>
    <row r="1280" spans="1:8" x14ac:dyDescent="0.25">
      <c r="A1280" s="23" t="s">
        <v>2</v>
      </c>
      <c r="B1280" s="23" t="s">
        <v>2</v>
      </c>
      <c r="C1280" s="23" t="s">
        <v>2</v>
      </c>
      <c r="D1280" s="23" t="s">
        <v>2</v>
      </c>
      <c r="E1280" s="23"/>
      <c r="F1280" s="23" t="s">
        <v>2</v>
      </c>
      <c r="G1280" s="23" t="s">
        <v>2</v>
      </c>
      <c r="H1280" s="29"/>
    </row>
    <row r="1281" spans="1:8" x14ac:dyDescent="0.25">
      <c r="A1281" s="23" t="s">
        <v>2175</v>
      </c>
      <c r="B1281" s="23" t="s">
        <v>2</v>
      </c>
      <c r="C1281" s="29"/>
      <c r="D1281" s="29"/>
      <c r="E1281" s="29"/>
      <c r="F1281" s="29"/>
      <c r="G1281" s="29"/>
      <c r="H1281" s="29"/>
    </row>
    <row r="1282" spans="1:8" x14ac:dyDescent="0.25">
      <c r="A1282" s="23" t="s">
        <v>2176</v>
      </c>
      <c r="B1282" s="23" t="s">
        <v>2</v>
      </c>
      <c r="C1282" s="29"/>
      <c r="D1282" s="29"/>
      <c r="E1282" s="29"/>
      <c r="F1282" s="29"/>
      <c r="G1282" s="29"/>
      <c r="H1282" s="29"/>
    </row>
    <row r="1283" spans="1:8" x14ac:dyDescent="0.25">
      <c r="A1283" s="23" t="s">
        <v>2570</v>
      </c>
      <c r="B1283" s="23" t="s">
        <v>2</v>
      </c>
      <c r="C1283" s="29"/>
      <c r="D1283" s="29"/>
      <c r="E1283" s="29"/>
      <c r="F1283" s="29"/>
      <c r="G1283" s="29"/>
      <c r="H1283" s="29"/>
    </row>
    <row r="1284" spans="1:8" x14ac:dyDescent="0.25">
      <c r="A1284" s="30" t="s">
        <v>2737</v>
      </c>
      <c r="B1284" s="30" t="s">
        <v>2409</v>
      </c>
      <c r="C1284" s="31">
        <v>0</v>
      </c>
      <c r="D1284" s="31">
        <v>0</v>
      </c>
      <c r="E1284" s="31">
        <v>0</v>
      </c>
      <c r="F1284" s="31">
        <v>0</v>
      </c>
      <c r="G1284" s="31">
        <v>0</v>
      </c>
      <c r="H1284" s="29"/>
    </row>
    <row r="1285" spans="1:8" x14ac:dyDescent="0.25">
      <c r="A1285" s="23" t="s">
        <v>2564</v>
      </c>
      <c r="B1285" s="23" t="s">
        <v>2</v>
      </c>
      <c r="C1285" s="32">
        <v>0</v>
      </c>
      <c r="D1285" s="32">
        <v>0</v>
      </c>
      <c r="E1285" s="32">
        <f>E1284</f>
        <v>0</v>
      </c>
      <c r="F1285" s="32">
        <f>SUM(F1284)</f>
        <v>0</v>
      </c>
      <c r="G1285" s="32">
        <f>SUM(G1284)</f>
        <v>0</v>
      </c>
      <c r="H1285" s="29"/>
    </row>
    <row r="1286" spans="1:8" x14ac:dyDescent="0.25">
      <c r="A1286" s="23" t="s">
        <v>2</v>
      </c>
      <c r="B1286" s="23" t="s">
        <v>2</v>
      </c>
      <c r="C1286" s="23" t="s">
        <v>2</v>
      </c>
      <c r="D1286" s="23" t="s">
        <v>2</v>
      </c>
      <c r="E1286" s="23"/>
      <c r="F1286" s="23" t="s">
        <v>2</v>
      </c>
      <c r="G1286" s="23" t="s">
        <v>2</v>
      </c>
      <c r="H1286" s="29"/>
    </row>
    <row r="1287" spans="1:8" x14ac:dyDescent="0.25">
      <c r="A1287" s="23" t="s">
        <v>2047</v>
      </c>
      <c r="B1287" s="23" t="s">
        <v>2</v>
      </c>
      <c r="C1287" s="32">
        <v>335828.8</v>
      </c>
      <c r="D1287" s="32">
        <v>152774.37</v>
      </c>
      <c r="E1287" s="32">
        <f>E1279+E1285</f>
        <v>290327.53999999998</v>
      </c>
      <c r="F1287" s="32">
        <f>F1279+F1285</f>
        <v>260000</v>
      </c>
      <c r="G1287" s="32">
        <f>G1279+G1285</f>
        <v>300000</v>
      </c>
      <c r="H1287" s="29"/>
    </row>
    <row r="1288" spans="1:8" ht="15" customHeight="1" x14ac:dyDescent="0.25">
      <c r="A1288" s="1" t="s">
        <v>740</v>
      </c>
      <c r="B1288" s="1" t="s">
        <v>2</v>
      </c>
      <c r="C1288" s="40"/>
    </row>
    <row r="1289" spans="1:8" ht="15" customHeight="1" x14ac:dyDescent="0.25">
      <c r="A1289" s="2" t="s">
        <v>1065</v>
      </c>
      <c r="B1289" s="2" t="s">
        <v>1066</v>
      </c>
      <c r="C1289" s="3">
        <v>270000</v>
      </c>
      <c r="D1289" s="3">
        <v>0</v>
      </c>
      <c r="E1289" s="3">
        <v>0</v>
      </c>
      <c r="F1289" s="3">
        <v>270000</v>
      </c>
      <c r="G1289" s="59">
        <v>0</v>
      </c>
    </row>
    <row r="1290" spans="1:8" ht="15" customHeight="1" x14ac:dyDescent="0.25">
      <c r="A1290" s="1" t="s">
        <v>1067</v>
      </c>
      <c r="B1290" s="1" t="s">
        <v>2</v>
      </c>
      <c r="C1290" s="4">
        <v>270000</v>
      </c>
      <c r="D1290" s="4">
        <v>0</v>
      </c>
      <c r="E1290" s="4">
        <f>E1289</f>
        <v>0</v>
      </c>
      <c r="F1290" s="6">
        <f>SUM(F1289)</f>
        <v>270000</v>
      </c>
      <c r="G1290" s="6">
        <f>SUM(G1289)</f>
        <v>0</v>
      </c>
    </row>
    <row r="1291" spans="1:8" ht="15" customHeight="1" x14ac:dyDescent="0.25">
      <c r="A1291" s="25" t="s">
        <v>2738</v>
      </c>
      <c r="B1291" s="25"/>
      <c r="C1291" s="33">
        <f>C1274+C1287-C1290</f>
        <v>182620.84999999998</v>
      </c>
      <c r="D1291" s="33">
        <f t="shared" ref="D1291:G1291" si="32">D1274+D1287-D1290</f>
        <v>335395.21999999997</v>
      </c>
      <c r="E1291" s="33">
        <f t="shared" si="32"/>
        <v>472948.39</v>
      </c>
      <c r="F1291" s="33">
        <f t="shared" si="32"/>
        <v>172620.84999999998</v>
      </c>
      <c r="G1291" s="33">
        <f t="shared" si="32"/>
        <v>472620.85</v>
      </c>
      <c r="H1291" s="25"/>
    </row>
    <row r="1292" spans="1:8" x14ac:dyDescent="0.25">
      <c r="A1292" s="2" t="s">
        <v>2</v>
      </c>
      <c r="B1292" s="2" t="s">
        <v>2</v>
      </c>
      <c r="C1292" s="2" t="s">
        <v>2</v>
      </c>
      <c r="D1292" s="2" t="s">
        <v>2</v>
      </c>
      <c r="E1292" s="2"/>
      <c r="F1292" s="2" t="s">
        <v>2</v>
      </c>
      <c r="G1292" s="2" t="s">
        <v>2</v>
      </c>
    </row>
    <row r="1293" spans="1:8" ht="15" customHeight="1" x14ac:dyDescent="0.25">
      <c r="A1293" s="27" t="s">
        <v>2739</v>
      </c>
      <c r="B1293" s="27"/>
      <c r="C1293" s="28">
        <v>1220230.1399999999</v>
      </c>
      <c r="D1293" s="28">
        <v>2018727.03</v>
      </c>
      <c r="E1293" s="28">
        <v>2018727.03</v>
      </c>
      <c r="F1293" s="28">
        <v>2018727.03</v>
      </c>
      <c r="G1293" s="28">
        <f>F1314</f>
        <v>2017550.56</v>
      </c>
      <c r="H1293" s="27"/>
    </row>
    <row r="1294" spans="1:8" ht="24" x14ac:dyDescent="0.25">
      <c r="A1294" s="23" t="s">
        <v>1068</v>
      </c>
      <c r="B1294" s="23" t="s">
        <v>2</v>
      </c>
      <c r="C1294" s="29"/>
      <c r="D1294" s="29"/>
      <c r="E1294" s="29"/>
      <c r="F1294" s="29"/>
      <c r="G1294" s="29"/>
      <c r="H1294" s="29"/>
    </row>
    <row r="1295" spans="1:8" x14ac:dyDescent="0.25">
      <c r="A1295" s="23" t="s">
        <v>2026</v>
      </c>
      <c r="B1295" s="23" t="s">
        <v>2</v>
      </c>
      <c r="C1295" s="29"/>
      <c r="D1295" s="29"/>
      <c r="E1295" s="29"/>
      <c r="F1295" s="29"/>
      <c r="G1295" s="29"/>
      <c r="H1295" s="29"/>
    </row>
    <row r="1296" spans="1:8" x14ac:dyDescent="0.25">
      <c r="A1296" s="23" t="s">
        <v>2740</v>
      </c>
      <c r="B1296" s="23" t="s">
        <v>2</v>
      </c>
      <c r="C1296" s="29"/>
      <c r="D1296" s="29"/>
      <c r="E1296" s="29"/>
      <c r="F1296" s="29"/>
      <c r="G1296" s="29"/>
      <c r="H1296" s="29"/>
    </row>
    <row r="1297" spans="1:8" x14ac:dyDescent="0.25">
      <c r="A1297" s="30" t="s">
        <v>2741</v>
      </c>
      <c r="B1297" s="30" t="s">
        <v>2742</v>
      </c>
      <c r="C1297" s="31">
        <v>797413.04</v>
      </c>
      <c r="D1297" s="31">
        <v>365351.81</v>
      </c>
      <c r="E1297" s="31">
        <v>708326.13</v>
      </c>
      <c r="F1297" s="31">
        <v>658823.53</v>
      </c>
      <c r="G1297" s="31">
        <v>700000</v>
      </c>
      <c r="H1297" s="29"/>
    </row>
    <row r="1298" spans="1:8" ht="24" x14ac:dyDescent="0.25">
      <c r="A1298" s="23" t="s">
        <v>2743</v>
      </c>
      <c r="B1298" s="23" t="s">
        <v>2</v>
      </c>
      <c r="C1298" s="32">
        <v>797413.04</v>
      </c>
      <c r="D1298" s="32">
        <v>365351.81</v>
      </c>
      <c r="E1298" s="32">
        <f>E1297</f>
        <v>708326.13</v>
      </c>
      <c r="F1298" s="32">
        <f>SUM(F1297)</f>
        <v>658823.53</v>
      </c>
      <c r="G1298" s="32">
        <f>SUM(G1297)</f>
        <v>700000</v>
      </c>
      <c r="H1298" s="29"/>
    </row>
    <row r="1299" spans="1:8" x14ac:dyDescent="0.25">
      <c r="A1299" s="23" t="s">
        <v>2</v>
      </c>
      <c r="B1299" s="23" t="s">
        <v>2</v>
      </c>
      <c r="C1299" s="23" t="s">
        <v>2</v>
      </c>
      <c r="D1299" s="23" t="s">
        <v>2</v>
      </c>
      <c r="E1299" s="23"/>
      <c r="F1299" s="23" t="s">
        <v>2</v>
      </c>
      <c r="G1299" s="23" t="s">
        <v>2</v>
      </c>
      <c r="H1299" s="29"/>
    </row>
    <row r="1300" spans="1:8" x14ac:dyDescent="0.25">
      <c r="A1300" s="23" t="s">
        <v>2175</v>
      </c>
      <c r="B1300" s="23" t="s">
        <v>2</v>
      </c>
      <c r="C1300" s="29"/>
      <c r="D1300" s="29"/>
      <c r="E1300" s="29"/>
      <c r="F1300" s="29"/>
      <c r="G1300" s="29"/>
      <c r="H1300" s="29"/>
    </row>
    <row r="1301" spans="1:8" x14ac:dyDescent="0.25">
      <c r="A1301" s="23" t="s">
        <v>2176</v>
      </c>
      <c r="B1301" s="23" t="s">
        <v>2</v>
      </c>
      <c r="C1301" s="29"/>
      <c r="D1301" s="29"/>
      <c r="E1301" s="29"/>
      <c r="F1301" s="29"/>
      <c r="G1301" s="29"/>
      <c r="H1301" s="29"/>
    </row>
    <row r="1302" spans="1:8" x14ac:dyDescent="0.25">
      <c r="A1302" s="30" t="s">
        <v>2744</v>
      </c>
      <c r="B1302" s="30" t="s">
        <v>2409</v>
      </c>
      <c r="C1302" s="31">
        <v>1083.8499999999999</v>
      </c>
      <c r="D1302" s="31">
        <v>1000.63</v>
      </c>
      <c r="E1302" s="31">
        <v>3792.71</v>
      </c>
      <c r="F1302" s="31">
        <v>0</v>
      </c>
      <c r="G1302" s="31">
        <v>1000</v>
      </c>
      <c r="H1302" s="29"/>
    </row>
    <row r="1303" spans="1:8" x14ac:dyDescent="0.25">
      <c r="A1303" s="30" t="s">
        <v>2745</v>
      </c>
      <c r="B1303" s="30" t="s">
        <v>2746</v>
      </c>
      <c r="C1303" s="31">
        <v>0</v>
      </c>
      <c r="D1303" s="31">
        <v>0</v>
      </c>
      <c r="E1303" s="31">
        <v>0</v>
      </c>
      <c r="F1303" s="31">
        <v>0</v>
      </c>
      <c r="G1303" s="31">
        <v>0</v>
      </c>
      <c r="H1303" s="29"/>
    </row>
    <row r="1304" spans="1:8" x14ac:dyDescent="0.25">
      <c r="A1304" s="30" t="s">
        <v>2747</v>
      </c>
      <c r="B1304" s="30" t="s">
        <v>2748</v>
      </c>
      <c r="C1304" s="31">
        <v>0</v>
      </c>
      <c r="D1304" s="31">
        <v>0</v>
      </c>
      <c r="E1304" s="31">
        <v>0</v>
      </c>
      <c r="F1304" s="31">
        <v>0</v>
      </c>
      <c r="G1304" s="31">
        <v>0</v>
      </c>
      <c r="H1304" s="29"/>
    </row>
    <row r="1305" spans="1:8" ht="24" x14ac:dyDescent="0.25">
      <c r="A1305" s="23" t="s">
        <v>2179</v>
      </c>
      <c r="B1305" s="23" t="s">
        <v>2</v>
      </c>
      <c r="C1305" s="32">
        <v>1083.8499999999999</v>
      </c>
      <c r="D1305" s="32">
        <v>1000.63</v>
      </c>
      <c r="E1305" s="32">
        <f>SUM(E1302:E1304)</f>
        <v>3792.71</v>
      </c>
      <c r="F1305" s="32">
        <f>SUM(F1302:F1304)</f>
        <v>0</v>
      </c>
      <c r="G1305" s="32">
        <f>SUM(G1302:G1304)</f>
        <v>1000</v>
      </c>
      <c r="H1305" s="29"/>
    </row>
    <row r="1306" spans="1:8" x14ac:dyDescent="0.25">
      <c r="A1306" s="23"/>
      <c r="B1306" s="23"/>
      <c r="C1306" s="32"/>
      <c r="D1306" s="32"/>
      <c r="E1306" s="32"/>
      <c r="F1306" s="32"/>
      <c r="G1306" s="32"/>
      <c r="H1306" s="29"/>
    </row>
    <row r="1307" spans="1:8" x14ac:dyDescent="0.25">
      <c r="A1307" s="23" t="s">
        <v>2047</v>
      </c>
      <c r="B1307" s="23" t="s">
        <v>2</v>
      </c>
      <c r="C1307" s="32">
        <v>798496.89</v>
      </c>
      <c r="D1307" s="32">
        <v>366352.44</v>
      </c>
      <c r="E1307" s="32">
        <f>E1298+E1305</f>
        <v>712118.84</v>
      </c>
      <c r="F1307" s="32">
        <f>F1305+F1298</f>
        <v>658823.53</v>
      </c>
      <c r="G1307" s="32">
        <f>G1305+G1298</f>
        <v>701000</v>
      </c>
      <c r="H1307" s="29"/>
    </row>
    <row r="1308" spans="1:8" ht="15" customHeight="1" x14ac:dyDescent="0.25">
      <c r="A1308" s="1" t="s">
        <v>740</v>
      </c>
      <c r="B1308" s="1" t="s">
        <v>2</v>
      </c>
    </row>
    <row r="1309" spans="1:8" ht="15" customHeight="1" x14ac:dyDescent="0.25">
      <c r="A1309" s="2" t="s">
        <v>1069</v>
      </c>
      <c r="B1309" s="2" t="s">
        <v>1070</v>
      </c>
      <c r="C1309" s="3">
        <v>0</v>
      </c>
      <c r="D1309" s="3">
        <v>0</v>
      </c>
      <c r="E1309" s="3">
        <v>0</v>
      </c>
      <c r="F1309" s="3">
        <v>0</v>
      </c>
      <c r="G1309" s="59">
        <v>0</v>
      </c>
    </row>
    <row r="1310" spans="1:8" ht="15" customHeight="1" x14ac:dyDescent="0.25">
      <c r="A1310" s="2" t="s">
        <v>1071</v>
      </c>
      <c r="B1310" s="2" t="s">
        <v>1072</v>
      </c>
      <c r="C1310" s="3">
        <v>0</v>
      </c>
      <c r="D1310" s="3">
        <v>0</v>
      </c>
      <c r="E1310" s="3">
        <v>0</v>
      </c>
      <c r="F1310" s="3">
        <v>250000</v>
      </c>
      <c r="G1310" s="59">
        <v>0</v>
      </c>
    </row>
    <row r="1311" spans="1:8" x14ac:dyDescent="0.25">
      <c r="A1311" s="2" t="s">
        <v>1073</v>
      </c>
      <c r="B1311" s="2" t="s">
        <v>1074</v>
      </c>
      <c r="C1311" s="3">
        <v>0</v>
      </c>
      <c r="D1311" s="3">
        <v>0</v>
      </c>
      <c r="E1311" s="3">
        <v>0</v>
      </c>
      <c r="F1311" s="3">
        <v>350000</v>
      </c>
      <c r="G1311" s="59">
        <v>0</v>
      </c>
    </row>
    <row r="1312" spans="1:8" x14ac:dyDescent="0.25">
      <c r="A1312" s="2" t="s">
        <v>1075</v>
      </c>
      <c r="B1312" s="2" t="s">
        <v>1076</v>
      </c>
      <c r="C1312" s="3">
        <v>0</v>
      </c>
      <c r="D1312" s="3">
        <v>0</v>
      </c>
      <c r="E1312" s="3">
        <v>0</v>
      </c>
      <c r="F1312" s="3">
        <v>60000</v>
      </c>
      <c r="G1312" s="59">
        <v>0</v>
      </c>
    </row>
    <row r="1313" spans="1:8" ht="15" customHeight="1" x14ac:dyDescent="0.25">
      <c r="A1313" s="1" t="s">
        <v>1077</v>
      </c>
      <c r="B1313" s="1" t="s">
        <v>2</v>
      </c>
      <c r="C1313" s="4">
        <v>0</v>
      </c>
      <c r="D1313" s="4">
        <v>0</v>
      </c>
      <c r="E1313" s="4">
        <f>SUM(E1309:E1312)</f>
        <v>0</v>
      </c>
      <c r="F1313" s="6">
        <f>SUM(F1309:F1312)</f>
        <v>660000</v>
      </c>
      <c r="G1313" s="6">
        <f>SUM(G1309:G1312)</f>
        <v>0</v>
      </c>
    </row>
    <row r="1314" spans="1:8" ht="15" customHeight="1" x14ac:dyDescent="0.25">
      <c r="A1314" s="25" t="s">
        <v>2749</v>
      </c>
      <c r="B1314" s="25" t="s">
        <v>2</v>
      </c>
      <c r="C1314" s="33">
        <f>C1293+C1307-C1313</f>
        <v>2018727.0299999998</v>
      </c>
      <c r="D1314" s="33">
        <f t="shared" ref="D1314:G1314" si="33">D1293+D1307-D1313</f>
        <v>2385079.4700000002</v>
      </c>
      <c r="E1314" s="33">
        <f t="shared" si="33"/>
        <v>2730845.87</v>
      </c>
      <c r="F1314" s="33">
        <f t="shared" si="33"/>
        <v>2017550.56</v>
      </c>
      <c r="G1314" s="33">
        <f t="shared" si="33"/>
        <v>2718550.56</v>
      </c>
      <c r="H1314" s="25"/>
    </row>
    <row r="1315" spans="1:8" x14ac:dyDescent="0.25">
      <c r="A1315" s="1" t="s">
        <v>2</v>
      </c>
      <c r="B1315" s="1" t="s">
        <v>2</v>
      </c>
      <c r="C1315" s="1" t="s">
        <v>2</v>
      </c>
      <c r="D1315" s="1" t="s">
        <v>2</v>
      </c>
      <c r="E1315" s="1"/>
      <c r="F1315" s="1" t="s">
        <v>2</v>
      </c>
      <c r="G1315" s="1" t="s">
        <v>2</v>
      </c>
    </row>
    <row r="1316" spans="1:8" ht="15" customHeight="1" x14ac:dyDescent="0.25">
      <c r="A1316" s="27" t="s">
        <v>2750</v>
      </c>
      <c r="B1316" s="27"/>
      <c r="C1316" s="28">
        <v>9545.36</v>
      </c>
      <c r="D1316" s="28">
        <v>0</v>
      </c>
      <c r="E1316" s="28">
        <v>0</v>
      </c>
      <c r="F1316" s="28">
        <v>0</v>
      </c>
      <c r="G1316" s="28">
        <f>F1330</f>
        <v>0</v>
      </c>
      <c r="H1316" s="27"/>
    </row>
    <row r="1317" spans="1:8" x14ac:dyDescent="0.25">
      <c r="A1317" s="23" t="s">
        <v>1078</v>
      </c>
      <c r="B1317" s="23" t="s">
        <v>2</v>
      </c>
      <c r="C1317" s="29"/>
      <c r="D1317" s="29"/>
      <c r="E1317" s="29"/>
      <c r="F1317" s="29"/>
      <c r="G1317" s="29"/>
      <c r="H1317" s="29"/>
    </row>
    <row r="1318" spans="1:8" x14ac:dyDescent="0.25">
      <c r="A1318" s="23" t="s">
        <v>2026</v>
      </c>
      <c r="B1318" s="23" t="s">
        <v>2</v>
      </c>
      <c r="C1318" s="29"/>
      <c r="D1318" s="29"/>
      <c r="E1318" s="29"/>
      <c r="F1318" s="29"/>
      <c r="G1318" s="29"/>
      <c r="H1318" s="29"/>
    </row>
    <row r="1319" spans="1:8" x14ac:dyDescent="0.25">
      <c r="A1319" s="30" t="s">
        <v>2751</v>
      </c>
      <c r="B1319" s="30" t="s">
        <v>2752</v>
      </c>
      <c r="C1319" s="31">
        <v>0</v>
      </c>
      <c r="D1319" s="31">
        <v>0</v>
      </c>
      <c r="E1319" s="31">
        <v>0</v>
      </c>
      <c r="F1319" s="31">
        <v>0</v>
      </c>
      <c r="G1319" s="31">
        <v>0</v>
      </c>
      <c r="H1319" s="29" t="s">
        <v>3430</v>
      </c>
    </row>
    <row r="1320" spans="1:8" x14ac:dyDescent="0.25">
      <c r="A1320" s="23" t="s">
        <v>2047</v>
      </c>
      <c r="B1320" s="23" t="s">
        <v>2</v>
      </c>
      <c r="C1320" s="32">
        <v>0</v>
      </c>
      <c r="D1320" s="32">
        <v>0</v>
      </c>
      <c r="E1320" s="32">
        <f>E1319</f>
        <v>0</v>
      </c>
      <c r="F1320" s="32">
        <f>SUM(F1319)</f>
        <v>0</v>
      </c>
      <c r="G1320" s="32">
        <f>SUM(G1319)</f>
        <v>0</v>
      </c>
      <c r="H1320" s="29"/>
    </row>
    <row r="1321" spans="1:8" x14ac:dyDescent="0.25">
      <c r="A1321" s="1" t="s">
        <v>740</v>
      </c>
      <c r="B1321" s="1" t="s">
        <v>2</v>
      </c>
    </row>
    <row r="1322" spans="1:8" ht="15" customHeight="1" x14ac:dyDescent="0.25">
      <c r="A1322" s="2" t="s">
        <v>1079</v>
      </c>
      <c r="B1322" s="2" t="s">
        <v>1080</v>
      </c>
      <c r="C1322" s="3">
        <v>0</v>
      </c>
      <c r="D1322" s="3">
        <v>0</v>
      </c>
      <c r="E1322" s="3">
        <v>0</v>
      </c>
      <c r="F1322" s="3">
        <v>0</v>
      </c>
      <c r="G1322" s="5">
        <v>0</v>
      </c>
    </row>
    <row r="1323" spans="1:8" ht="15" customHeight="1" x14ac:dyDescent="0.25">
      <c r="A1323" s="2" t="s">
        <v>1081</v>
      </c>
      <c r="B1323" s="2" t="s">
        <v>1082</v>
      </c>
      <c r="C1323" s="3">
        <v>5239.12</v>
      </c>
      <c r="D1323" s="3">
        <v>0</v>
      </c>
      <c r="E1323" s="3">
        <v>0</v>
      </c>
      <c r="F1323" s="3">
        <v>0</v>
      </c>
      <c r="G1323" s="5">
        <v>0</v>
      </c>
    </row>
    <row r="1324" spans="1:8" ht="15" customHeight="1" x14ac:dyDescent="0.25">
      <c r="A1324" s="2" t="s">
        <v>1083</v>
      </c>
      <c r="B1324" s="2" t="s">
        <v>1084</v>
      </c>
      <c r="C1324" s="3">
        <v>4306.24</v>
      </c>
      <c r="D1324" s="3">
        <v>0</v>
      </c>
      <c r="E1324" s="3">
        <v>0</v>
      </c>
      <c r="F1324" s="3">
        <v>0</v>
      </c>
      <c r="G1324" s="5">
        <v>0</v>
      </c>
    </row>
    <row r="1325" spans="1:8" ht="15" customHeight="1" x14ac:dyDescent="0.25">
      <c r="A1325" s="2" t="s">
        <v>1085</v>
      </c>
      <c r="B1325" s="2" t="s">
        <v>1086</v>
      </c>
      <c r="C1325" s="3">
        <v>0</v>
      </c>
      <c r="D1325" s="3">
        <v>0</v>
      </c>
      <c r="E1325" s="3">
        <v>0</v>
      </c>
      <c r="F1325" s="3">
        <v>0</v>
      </c>
      <c r="G1325" s="5">
        <v>0</v>
      </c>
    </row>
    <row r="1326" spans="1:8" ht="15" customHeight="1" x14ac:dyDescent="0.25">
      <c r="A1326" s="2" t="s">
        <v>1087</v>
      </c>
      <c r="B1326" s="2" t="s">
        <v>1088</v>
      </c>
      <c r="C1326" s="3">
        <v>0</v>
      </c>
      <c r="D1326" s="3">
        <v>0</v>
      </c>
      <c r="E1326" s="3">
        <v>0</v>
      </c>
      <c r="F1326" s="3">
        <v>0</v>
      </c>
      <c r="G1326" s="5">
        <v>0</v>
      </c>
    </row>
    <row r="1327" spans="1:8" ht="15" customHeight="1" x14ac:dyDescent="0.25">
      <c r="A1327" s="2" t="s">
        <v>1089</v>
      </c>
      <c r="B1327" s="2" t="s">
        <v>1090</v>
      </c>
      <c r="C1327" s="3">
        <v>0</v>
      </c>
      <c r="D1327" s="3">
        <v>0</v>
      </c>
      <c r="E1327" s="3">
        <v>0</v>
      </c>
      <c r="F1327" s="3">
        <v>0</v>
      </c>
      <c r="G1327" s="5">
        <v>0</v>
      </c>
    </row>
    <row r="1328" spans="1:8" ht="15" customHeight="1" x14ac:dyDescent="0.25">
      <c r="A1328" s="2" t="s">
        <v>1091</v>
      </c>
      <c r="B1328" s="2" t="s">
        <v>1092</v>
      </c>
      <c r="C1328" s="3">
        <v>0</v>
      </c>
      <c r="D1328" s="3">
        <v>0</v>
      </c>
      <c r="E1328" s="3">
        <v>0</v>
      </c>
      <c r="F1328" s="3">
        <v>0</v>
      </c>
      <c r="G1328" s="5">
        <v>0</v>
      </c>
    </row>
    <row r="1329" spans="1:11" ht="15" customHeight="1" x14ac:dyDescent="0.25">
      <c r="A1329" s="1" t="s">
        <v>1093</v>
      </c>
      <c r="B1329" s="1" t="s">
        <v>2</v>
      </c>
      <c r="C1329" s="4">
        <v>9545.36</v>
      </c>
      <c r="D1329" s="4">
        <v>0</v>
      </c>
      <c r="E1329" s="4">
        <f>SUM(E1322:E1328)</f>
        <v>0</v>
      </c>
      <c r="F1329" s="6">
        <f>SUM(F1322:F1328)</f>
        <v>0</v>
      </c>
      <c r="G1329" s="6">
        <f>SUM(G1322:G1328)</f>
        <v>0</v>
      </c>
    </row>
    <row r="1330" spans="1:11" ht="15" customHeight="1" x14ac:dyDescent="0.25">
      <c r="A1330" s="25" t="s">
        <v>2753</v>
      </c>
      <c r="B1330" s="25"/>
      <c r="C1330" s="33">
        <f>C1316+C1320-C1329</f>
        <v>0</v>
      </c>
      <c r="D1330" s="33">
        <f t="shared" ref="D1330:G1330" si="34">D1316+D1320-D1329</f>
        <v>0</v>
      </c>
      <c r="E1330" s="33">
        <f t="shared" si="34"/>
        <v>0</v>
      </c>
      <c r="F1330" s="33">
        <f t="shared" si="34"/>
        <v>0</v>
      </c>
      <c r="G1330" s="33">
        <f t="shared" si="34"/>
        <v>0</v>
      </c>
      <c r="H1330" s="25"/>
    </row>
    <row r="1331" spans="1:11" x14ac:dyDescent="0.25">
      <c r="A1331" s="1" t="s">
        <v>2</v>
      </c>
      <c r="B1331" s="1" t="s">
        <v>2</v>
      </c>
      <c r="C1331" s="1" t="s">
        <v>2</v>
      </c>
      <c r="D1331" s="1" t="s">
        <v>2</v>
      </c>
      <c r="E1331" s="1"/>
      <c r="F1331" s="1" t="s">
        <v>2</v>
      </c>
      <c r="G1331" s="1" t="s">
        <v>2</v>
      </c>
    </row>
    <row r="1332" spans="1:11" ht="15" customHeight="1" x14ac:dyDescent="0.25">
      <c r="A1332" s="27" t="s">
        <v>2755</v>
      </c>
      <c r="B1332" s="27"/>
      <c r="C1332" s="28">
        <v>0</v>
      </c>
      <c r="D1332" s="28">
        <v>2015757.68</v>
      </c>
      <c r="E1332" s="28">
        <v>2015757.68</v>
      </c>
      <c r="F1332" s="28">
        <v>2015757.68</v>
      </c>
      <c r="G1332" s="28">
        <f>F1348</f>
        <v>2094991.6399999997</v>
      </c>
      <c r="H1332" s="27"/>
    </row>
    <row r="1333" spans="1:11" ht="24" x14ac:dyDescent="0.25">
      <c r="A1333" s="23" t="s">
        <v>1094</v>
      </c>
      <c r="B1333" s="23" t="s">
        <v>2</v>
      </c>
      <c r="C1333" s="29"/>
      <c r="D1333" s="29"/>
      <c r="E1333" s="29"/>
      <c r="F1333" s="29"/>
      <c r="G1333" s="29"/>
      <c r="H1333" s="29"/>
    </row>
    <row r="1334" spans="1:11" x14ac:dyDescent="0.25">
      <c r="A1334" s="30" t="s">
        <v>2756</v>
      </c>
      <c r="B1334" s="30" t="s">
        <v>2110</v>
      </c>
      <c r="C1334" s="31">
        <v>2081265</v>
      </c>
      <c r="D1334" s="31">
        <v>0</v>
      </c>
      <c r="E1334" s="31">
        <v>2081265</v>
      </c>
      <c r="F1334" s="31">
        <v>2079234</v>
      </c>
      <c r="G1334" s="31">
        <v>0</v>
      </c>
      <c r="H1334" s="29"/>
    </row>
    <row r="1335" spans="1:11" x14ac:dyDescent="0.25">
      <c r="A1335" s="23" t="s">
        <v>2047</v>
      </c>
      <c r="B1335" s="23" t="s">
        <v>2</v>
      </c>
      <c r="C1335" s="32">
        <v>2081265</v>
      </c>
      <c r="D1335" s="32">
        <v>0</v>
      </c>
      <c r="E1335" s="32">
        <f>E1334</f>
        <v>2081265</v>
      </c>
      <c r="F1335" s="32">
        <f>SUM(F1334)</f>
        <v>2079234</v>
      </c>
      <c r="G1335" s="32">
        <f>SUM(G1334)</f>
        <v>0</v>
      </c>
      <c r="H1335" s="29"/>
    </row>
    <row r="1336" spans="1:11" ht="15" customHeight="1" x14ac:dyDescent="0.25">
      <c r="A1336" s="1" t="s">
        <v>740</v>
      </c>
      <c r="B1336" s="1" t="s">
        <v>2</v>
      </c>
    </row>
    <row r="1337" spans="1:11" x14ac:dyDescent="0.25">
      <c r="A1337" s="2" t="s">
        <v>1096</v>
      </c>
      <c r="B1337" s="2" t="s">
        <v>1097</v>
      </c>
      <c r="C1337" s="3">
        <v>0</v>
      </c>
      <c r="D1337" s="3">
        <v>200000</v>
      </c>
      <c r="E1337" s="3">
        <v>200000</v>
      </c>
      <c r="F1337" s="3">
        <v>200000</v>
      </c>
      <c r="G1337" s="5">
        <v>0</v>
      </c>
    </row>
    <row r="1338" spans="1:11" ht="15" customHeight="1" x14ac:dyDescent="0.25">
      <c r="A1338" s="2" t="s">
        <v>1098</v>
      </c>
      <c r="B1338" s="2" t="s">
        <v>261</v>
      </c>
      <c r="C1338" s="3">
        <v>0</v>
      </c>
      <c r="D1338" s="3">
        <v>111336</v>
      </c>
      <c r="E1338" s="3">
        <v>111336</v>
      </c>
      <c r="F1338" s="3">
        <v>111336</v>
      </c>
      <c r="G1338" s="5">
        <v>0</v>
      </c>
    </row>
    <row r="1339" spans="1:11" ht="15" customHeight="1" x14ac:dyDescent="0.25">
      <c r="A1339" s="2" t="s">
        <v>1099</v>
      </c>
      <c r="B1339" s="2" t="s">
        <v>1100</v>
      </c>
      <c r="C1339" s="3">
        <v>361.88</v>
      </c>
      <c r="D1339" s="3">
        <v>0</v>
      </c>
      <c r="E1339" s="3">
        <v>0</v>
      </c>
      <c r="F1339" s="3">
        <v>0</v>
      </c>
      <c r="G1339" s="5">
        <v>0</v>
      </c>
    </row>
    <row r="1340" spans="1:11" ht="15" customHeight="1" x14ac:dyDescent="0.25">
      <c r="A1340" s="2" t="s">
        <v>1101</v>
      </c>
      <c r="B1340" s="2" t="s">
        <v>1102</v>
      </c>
      <c r="C1340" s="3">
        <v>0</v>
      </c>
      <c r="D1340" s="3">
        <v>850000</v>
      </c>
      <c r="E1340" s="3">
        <v>850000</v>
      </c>
      <c r="F1340" s="3">
        <v>850000</v>
      </c>
      <c r="G1340" s="5">
        <v>0</v>
      </c>
      <c r="K1340" s="48">
        <f>H1340</f>
        <v>0</v>
      </c>
    </row>
    <row r="1341" spans="1:11" x14ac:dyDescent="0.25">
      <c r="A1341" s="2" t="s">
        <v>1103</v>
      </c>
      <c r="B1341" s="2" t="s">
        <v>1104</v>
      </c>
      <c r="C1341" s="3">
        <v>23000</v>
      </c>
      <c r="D1341" s="3">
        <v>440000</v>
      </c>
      <c r="E1341" s="3">
        <v>440000</v>
      </c>
      <c r="F1341" s="3">
        <v>400000</v>
      </c>
      <c r="G1341" s="5">
        <v>0</v>
      </c>
      <c r="K1341" s="48">
        <f t="shared" ref="K1341:K1342" si="35">H1341</f>
        <v>0</v>
      </c>
    </row>
    <row r="1342" spans="1:11" ht="15" customHeight="1" x14ac:dyDescent="0.25">
      <c r="A1342" s="2" t="s">
        <v>1105</v>
      </c>
      <c r="B1342" s="2" t="s">
        <v>1106</v>
      </c>
      <c r="C1342" s="3">
        <v>23627.67</v>
      </c>
      <c r="D1342" s="3">
        <v>0</v>
      </c>
      <c r="E1342" s="3">
        <v>1659.2</v>
      </c>
      <c r="F1342" s="3">
        <v>0</v>
      </c>
      <c r="G1342" s="5">
        <v>0</v>
      </c>
      <c r="K1342" s="48">
        <f t="shared" si="35"/>
        <v>0</v>
      </c>
    </row>
    <row r="1343" spans="1:11" ht="15" customHeight="1" x14ac:dyDescent="0.25">
      <c r="A1343" s="2" t="s">
        <v>1107</v>
      </c>
      <c r="B1343" s="2" t="s">
        <v>1108</v>
      </c>
      <c r="C1343" s="3">
        <v>0</v>
      </c>
      <c r="D1343" s="3">
        <v>6776.06</v>
      </c>
      <c r="E1343" s="3">
        <v>6776.06</v>
      </c>
      <c r="F1343" s="3">
        <v>6776.06</v>
      </c>
      <c r="G1343" s="5">
        <v>0</v>
      </c>
    </row>
    <row r="1344" spans="1:11" ht="15" customHeight="1" x14ac:dyDescent="0.25">
      <c r="A1344" s="2" t="s">
        <v>1109</v>
      </c>
      <c r="B1344" s="2" t="s">
        <v>1110</v>
      </c>
      <c r="C1344" s="3">
        <v>4926.47</v>
      </c>
      <c r="D1344" s="3">
        <v>0</v>
      </c>
      <c r="E1344" s="3">
        <v>0</v>
      </c>
      <c r="F1344" s="3">
        <v>0</v>
      </c>
      <c r="G1344" s="5">
        <v>0</v>
      </c>
    </row>
    <row r="1345" spans="1:12" ht="15" customHeight="1" x14ac:dyDescent="0.25">
      <c r="A1345" s="2" t="s">
        <v>1111</v>
      </c>
      <c r="B1345" s="2" t="s">
        <v>1112</v>
      </c>
      <c r="C1345" s="3">
        <v>13591.3</v>
      </c>
      <c r="D1345" s="3">
        <v>174.08</v>
      </c>
      <c r="E1345" s="3">
        <v>174.08</v>
      </c>
      <c r="F1345" s="3">
        <v>174.08</v>
      </c>
      <c r="G1345" s="5">
        <v>0</v>
      </c>
    </row>
    <row r="1346" spans="1:12" ht="15" customHeight="1" x14ac:dyDescent="0.25">
      <c r="A1346" s="2" t="s">
        <v>1113</v>
      </c>
      <c r="B1346" s="2" t="s">
        <v>1114</v>
      </c>
      <c r="C1346" s="3">
        <v>0</v>
      </c>
      <c r="D1346" s="3">
        <v>0</v>
      </c>
      <c r="E1346" s="3">
        <v>234500</v>
      </c>
      <c r="F1346" s="3">
        <v>431713.9</v>
      </c>
      <c r="G1346" s="5">
        <v>1000000</v>
      </c>
      <c r="H1346" s="57"/>
    </row>
    <row r="1347" spans="1:12" ht="24" x14ac:dyDescent="0.25">
      <c r="A1347" s="1" t="s">
        <v>1115</v>
      </c>
      <c r="B1347" s="1" t="s">
        <v>2</v>
      </c>
      <c r="C1347" s="4">
        <v>65507.32</v>
      </c>
      <c r="D1347" s="4">
        <v>1608286.14</v>
      </c>
      <c r="E1347" s="4">
        <f>SUM(E1337:E1346)</f>
        <v>1844445.34</v>
      </c>
      <c r="F1347" s="6">
        <f>SUM(F1337:F1346)</f>
        <v>2000000.04</v>
      </c>
      <c r="G1347" s="6">
        <f>SUM(G1337:G1346)</f>
        <v>1000000</v>
      </c>
    </row>
    <row r="1348" spans="1:12" ht="15" customHeight="1" x14ac:dyDescent="0.25">
      <c r="A1348" s="25" t="s">
        <v>2758</v>
      </c>
      <c r="B1348" s="25"/>
      <c r="C1348" s="33">
        <f>C1332+C1335-C1347</f>
        <v>2015757.68</v>
      </c>
      <c r="D1348" s="33">
        <f t="shared" ref="D1348:G1348" si="36">D1332+D1335-D1347</f>
        <v>407471.54000000004</v>
      </c>
      <c r="E1348" s="33">
        <f t="shared" si="36"/>
        <v>2252577.34</v>
      </c>
      <c r="F1348" s="33">
        <f>F1332+F1335-F1347</f>
        <v>2094991.6399999997</v>
      </c>
      <c r="G1348" s="33">
        <f t="shared" si="36"/>
        <v>1094991.6399999997</v>
      </c>
      <c r="H1348" s="25"/>
    </row>
    <row r="1349" spans="1:12" x14ac:dyDescent="0.25">
      <c r="A1349" s="1" t="s">
        <v>2</v>
      </c>
      <c r="B1349" s="1" t="s">
        <v>2</v>
      </c>
      <c r="C1349" s="1" t="s">
        <v>2</v>
      </c>
      <c r="D1349" s="1" t="s">
        <v>2</v>
      </c>
      <c r="E1349" s="1"/>
      <c r="F1349" s="36"/>
      <c r="G1349" s="1" t="s">
        <v>2</v>
      </c>
    </row>
    <row r="1350" spans="1:12" ht="15" customHeight="1" x14ac:dyDescent="0.25">
      <c r="A1350" s="27" t="s">
        <v>2754</v>
      </c>
      <c r="B1350" s="27"/>
      <c r="C1350" s="28">
        <v>105842.29</v>
      </c>
      <c r="D1350" s="28">
        <v>107446.64</v>
      </c>
      <c r="E1350" s="28">
        <v>107446.64</v>
      </c>
      <c r="F1350" s="28">
        <v>107446.64</v>
      </c>
      <c r="G1350" s="28">
        <f>F1379</f>
        <v>49421.64</v>
      </c>
      <c r="H1350" s="27"/>
    </row>
    <row r="1351" spans="1:12" x14ac:dyDescent="0.25">
      <c r="A1351" s="23" t="s">
        <v>1117</v>
      </c>
      <c r="B1351" s="23" t="s">
        <v>2</v>
      </c>
      <c r="C1351" s="29"/>
      <c r="D1351" s="29"/>
      <c r="E1351" s="29"/>
      <c r="F1351" s="29"/>
      <c r="G1351" s="29"/>
      <c r="H1351" s="29"/>
    </row>
    <row r="1352" spans="1:12" x14ac:dyDescent="0.25">
      <c r="A1352" s="30" t="s">
        <v>2759</v>
      </c>
      <c r="B1352" s="30" t="s">
        <v>2760</v>
      </c>
      <c r="C1352" s="31">
        <v>27474.28</v>
      </c>
      <c r="D1352" s="31">
        <v>13903.26</v>
      </c>
      <c r="E1352" s="31">
        <v>30402.91</v>
      </c>
      <c r="F1352" s="31">
        <v>10000</v>
      </c>
      <c r="G1352" s="31">
        <v>28000</v>
      </c>
      <c r="H1352" s="29"/>
    </row>
    <row r="1353" spans="1:12" x14ac:dyDescent="0.25">
      <c r="A1353" s="30" t="s">
        <v>2761</v>
      </c>
      <c r="B1353" s="30" t="s">
        <v>2762</v>
      </c>
      <c r="C1353" s="31">
        <v>27474.27</v>
      </c>
      <c r="D1353" s="31">
        <v>13903.26</v>
      </c>
      <c r="E1353" s="31">
        <v>30402.91</v>
      </c>
      <c r="F1353" s="31">
        <v>10000</v>
      </c>
      <c r="G1353" s="31">
        <v>28000</v>
      </c>
      <c r="H1353" s="29"/>
      <c r="K1353" s="41"/>
      <c r="L1353" s="41"/>
    </row>
    <row r="1354" spans="1:12" x14ac:dyDescent="0.25">
      <c r="A1354" s="30"/>
      <c r="B1354" s="30"/>
      <c r="C1354" s="31"/>
      <c r="D1354" s="31"/>
      <c r="E1354" s="31"/>
      <c r="F1354" s="31"/>
      <c r="G1354" s="31"/>
      <c r="H1354" s="29"/>
    </row>
    <row r="1355" spans="1:12" x14ac:dyDescent="0.25">
      <c r="A1355" s="23" t="s">
        <v>2175</v>
      </c>
      <c r="B1355" s="23" t="s">
        <v>2</v>
      </c>
      <c r="C1355" s="29"/>
      <c r="D1355" s="29"/>
      <c r="E1355" s="29"/>
      <c r="F1355" s="29"/>
      <c r="G1355" s="29"/>
      <c r="H1355" s="29"/>
    </row>
    <row r="1356" spans="1:12" x14ac:dyDescent="0.25">
      <c r="A1356" s="23" t="s">
        <v>2176</v>
      </c>
      <c r="B1356" s="23" t="s">
        <v>2</v>
      </c>
      <c r="C1356" s="29"/>
      <c r="D1356" s="29"/>
      <c r="E1356" s="29"/>
      <c r="F1356" s="29"/>
      <c r="G1356" s="29"/>
      <c r="H1356" s="29"/>
    </row>
    <row r="1357" spans="1:12" x14ac:dyDescent="0.25">
      <c r="A1357" s="30" t="s">
        <v>2763</v>
      </c>
      <c r="B1357" s="30" t="s">
        <v>2409</v>
      </c>
      <c r="C1357" s="31">
        <v>44.09</v>
      </c>
      <c r="D1357" s="31">
        <v>36.82</v>
      </c>
      <c r="E1357" s="31">
        <v>108.43</v>
      </c>
      <c r="F1357" s="31">
        <v>0</v>
      </c>
      <c r="G1357" s="31">
        <v>100</v>
      </c>
      <c r="H1357" s="29"/>
    </row>
    <row r="1358" spans="1:12" ht="24" x14ac:dyDescent="0.25">
      <c r="A1358" s="23" t="s">
        <v>2179</v>
      </c>
      <c r="B1358" s="23" t="s">
        <v>2</v>
      </c>
      <c r="C1358" s="32">
        <v>44.09</v>
      </c>
      <c r="D1358" s="32">
        <v>36.82</v>
      </c>
      <c r="E1358" s="32">
        <f>E1357</f>
        <v>108.43</v>
      </c>
      <c r="F1358" s="32">
        <f>SUM(F1357)</f>
        <v>0</v>
      </c>
      <c r="G1358" s="32">
        <f>SUM(G1357)</f>
        <v>100</v>
      </c>
      <c r="H1358" s="29"/>
      <c r="K1358" s="41"/>
      <c r="L1358" s="41"/>
    </row>
    <row r="1359" spans="1:12" x14ac:dyDescent="0.25">
      <c r="A1359" s="23" t="s">
        <v>2</v>
      </c>
      <c r="B1359" s="23" t="s">
        <v>2</v>
      </c>
      <c r="C1359" s="23" t="s">
        <v>2</v>
      </c>
      <c r="D1359" s="23" t="s">
        <v>2</v>
      </c>
      <c r="E1359" s="23"/>
      <c r="F1359" s="23" t="s">
        <v>2</v>
      </c>
      <c r="G1359" s="23" t="s">
        <v>2</v>
      </c>
      <c r="H1359" s="29"/>
    </row>
    <row r="1360" spans="1:12" s="29" customFormat="1" x14ac:dyDescent="0.25">
      <c r="A1360" s="23" t="s">
        <v>2047</v>
      </c>
      <c r="B1360" s="23" t="s">
        <v>2</v>
      </c>
      <c r="C1360" s="32">
        <v>54992.639999999999</v>
      </c>
      <c r="D1360" s="32">
        <v>27843.34</v>
      </c>
      <c r="E1360" s="32">
        <f>E1352+E1353+E1358</f>
        <v>60914.25</v>
      </c>
      <c r="F1360" s="32">
        <f>SUM(F1352:F1353)+F1358</f>
        <v>20000</v>
      </c>
      <c r="G1360" s="32">
        <f>SUM(G1352:G1353)+G1358</f>
        <v>56100</v>
      </c>
      <c r="I1360"/>
      <c r="J1360"/>
      <c r="K1360"/>
      <c r="L1360"/>
    </row>
    <row r="1361" spans="1:7" x14ac:dyDescent="0.25">
      <c r="A1361" s="1" t="s">
        <v>1117</v>
      </c>
      <c r="B1361" s="1" t="s">
        <v>2</v>
      </c>
    </row>
    <row r="1362" spans="1:7" x14ac:dyDescent="0.25">
      <c r="A1362" s="2" t="s">
        <v>1118</v>
      </c>
      <c r="B1362" s="2" t="s">
        <v>1097</v>
      </c>
      <c r="C1362" s="3">
        <v>39000</v>
      </c>
      <c r="D1362" s="3">
        <v>10500</v>
      </c>
      <c r="E1362" s="3">
        <v>24000</v>
      </c>
      <c r="F1362" s="3">
        <v>42000</v>
      </c>
      <c r="G1362" s="5">
        <v>43000</v>
      </c>
    </row>
    <row r="1363" spans="1:7" ht="15" customHeight="1" x14ac:dyDescent="0.25">
      <c r="A1363" s="2" t="s">
        <v>1119</v>
      </c>
      <c r="B1363" s="2" t="s">
        <v>1120</v>
      </c>
      <c r="C1363" s="3">
        <v>2000</v>
      </c>
      <c r="D1363" s="3">
        <v>0</v>
      </c>
      <c r="E1363" s="3">
        <v>1690.46</v>
      </c>
      <c r="F1363" s="3">
        <v>2000</v>
      </c>
      <c r="G1363" s="5">
        <v>0</v>
      </c>
    </row>
    <row r="1364" spans="1:7" ht="15" customHeight="1" x14ac:dyDescent="0.25">
      <c r="A1364" s="2" t="s">
        <v>1121</v>
      </c>
      <c r="B1364" s="2" t="s">
        <v>275</v>
      </c>
      <c r="C1364" s="3">
        <v>925.7</v>
      </c>
      <c r="D1364" s="3">
        <v>0</v>
      </c>
      <c r="E1364" s="3">
        <v>0</v>
      </c>
      <c r="F1364" s="3">
        <v>0</v>
      </c>
      <c r="G1364" s="5">
        <v>0</v>
      </c>
    </row>
    <row r="1365" spans="1:7" ht="15" customHeight="1" x14ac:dyDescent="0.25">
      <c r="A1365" s="2" t="s">
        <v>1122</v>
      </c>
      <c r="B1365" s="2" t="s">
        <v>1123</v>
      </c>
      <c r="C1365" s="3">
        <v>0</v>
      </c>
      <c r="D1365" s="3">
        <v>0</v>
      </c>
      <c r="E1365" s="3">
        <v>0</v>
      </c>
      <c r="F1365" s="3">
        <v>0</v>
      </c>
      <c r="G1365" s="5">
        <v>0</v>
      </c>
    </row>
    <row r="1366" spans="1:7" ht="15" customHeight="1" x14ac:dyDescent="0.25">
      <c r="A1366" s="2" t="s">
        <v>1124</v>
      </c>
      <c r="B1366" s="2" t="s">
        <v>1125</v>
      </c>
      <c r="C1366" s="3">
        <v>0</v>
      </c>
      <c r="D1366" s="3">
        <v>0</v>
      </c>
      <c r="E1366" s="3">
        <v>0</v>
      </c>
      <c r="F1366" s="3">
        <v>5000</v>
      </c>
      <c r="G1366" s="5">
        <v>0</v>
      </c>
    </row>
    <row r="1367" spans="1:7" ht="15" customHeight="1" x14ac:dyDescent="0.25">
      <c r="A1367" s="2" t="s">
        <v>1126</v>
      </c>
      <c r="B1367" s="2" t="s">
        <v>1127</v>
      </c>
      <c r="C1367" s="3">
        <v>0</v>
      </c>
      <c r="D1367" s="3">
        <v>0</v>
      </c>
      <c r="E1367" s="3">
        <v>0</v>
      </c>
      <c r="F1367" s="3">
        <v>0</v>
      </c>
      <c r="G1367" s="5">
        <v>0</v>
      </c>
    </row>
    <row r="1368" spans="1:7" ht="15" customHeight="1" x14ac:dyDescent="0.25">
      <c r="A1368" s="2" t="s">
        <v>1128</v>
      </c>
      <c r="B1368" s="2" t="s">
        <v>1129</v>
      </c>
      <c r="C1368" s="3">
        <v>0</v>
      </c>
      <c r="D1368" s="3">
        <v>0</v>
      </c>
      <c r="E1368" s="3">
        <v>0</v>
      </c>
      <c r="F1368" s="3">
        <v>0</v>
      </c>
      <c r="G1368" s="5">
        <v>0</v>
      </c>
    </row>
    <row r="1369" spans="1:7" ht="15" customHeight="1" x14ac:dyDescent="0.25">
      <c r="A1369" s="2" t="s">
        <v>1130</v>
      </c>
      <c r="B1369" s="2" t="s">
        <v>1131</v>
      </c>
      <c r="C1369" s="3">
        <v>0</v>
      </c>
      <c r="D1369" s="3">
        <v>0</v>
      </c>
      <c r="E1369" s="3">
        <v>0</v>
      </c>
      <c r="F1369" s="3">
        <v>5000</v>
      </c>
      <c r="G1369" s="5">
        <v>0</v>
      </c>
    </row>
    <row r="1370" spans="1:7" ht="15" customHeight="1" x14ac:dyDescent="0.25">
      <c r="A1370" s="2" t="s">
        <v>1132</v>
      </c>
      <c r="B1370" s="2" t="s">
        <v>1123</v>
      </c>
      <c r="C1370" s="3">
        <v>0</v>
      </c>
      <c r="D1370" s="3">
        <v>0</v>
      </c>
      <c r="E1370" s="3">
        <v>0</v>
      </c>
      <c r="F1370" s="3">
        <v>0</v>
      </c>
      <c r="G1370" s="5">
        <v>0</v>
      </c>
    </row>
    <row r="1371" spans="1:7" ht="15" customHeight="1" x14ac:dyDescent="0.25">
      <c r="A1371" s="2" t="s">
        <v>1133</v>
      </c>
      <c r="B1371" s="2" t="s">
        <v>1134</v>
      </c>
      <c r="C1371" s="3">
        <v>2000</v>
      </c>
      <c r="D1371" s="3">
        <v>1557.11</v>
      </c>
      <c r="E1371" s="3">
        <v>1849.1</v>
      </c>
      <c r="F1371" s="3">
        <v>2525</v>
      </c>
      <c r="G1371" s="5">
        <v>2421</v>
      </c>
    </row>
    <row r="1372" spans="1:7" ht="15" customHeight="1" x14ac:dyDescent="0.25">
      <c r="A1372" s="2" t="s">
        <v>1135</v>
      </c>
      <c r="B1372" s="2" t="s">
        <v>1136</v>
      </c>
      <c r="C1372" s="3">
        <v>1462.59</v>
      </c>
      <c r="D1372" s="3">
        <v>0</v>
      </c>
      <c r="E1372" s="3">
        <v>0</v>
      </c>
      <c r="F1372" s="3">
        <v>3000</v>
      </c>
      <c r="G1372" s="5">
        <v>3000</v>
      </c>
    </row>
    <row r="1373" spans="1:7" ht="15" customHeight="1" x14ac:dyDescent="0.25">
      <c r="A1373" s="2" t="s">
        <v>1137</v>
      </c>
      <c r="B1373" s="2" t="s">
        <v>1138</v>
      </c>
      <c r="C1373" s="3">
        <v>0</v>
      </c>
      <c r="D1373" s="3">
        <v>0</v>
      </c>
      <c r="E1373" s="3">
        <v>0</v>
      </c>
      <c r="F1373" s="3">
        <v>2000</v>
      </c>
      <c r="G1373" s="5">
        <v>0</v>
      </c>
    </row>
    <row r="1374" spans="1:7" ht="15" customHeight="1" x14ac:dyDescent="0.25">
      <c r="A1374" s="2" t="s">
        <v>1139</v>
      </c>
      <c r="B1374" s="2" t="s">
        <v>1140</v>
      </c>
      <c r="C1374" s="3">
        <v>0</v>
      </c>
      <c r="D1374" s="3">
        <v>0</v>
      </c>
      <c r="E1374" s="3">
        <v>0</v>
      </c>
      <c r="F1374" s="3">
        <v>3000</v>
      </c>
      <c r="G1374" s="5">
        <v>0</v>
      </c>
    </row>
    <row r="1375" spans="1:7" ht="15" customHeight="1" x14ac:dyDescent="0.25">
      <c r="A1375" s="2" t="s">
        <v>3419</v>
      </c>
      <c r="B1375" s="2" t="s">
        <v>3418</v>
      </c>
      <c r="C1375" s="3">
        <v>0</v>
      </c>
      <c r="D1375" s="3">
        <v>0</v>
      </c>
      <c r="E1375" s="3">
        <v>0</v>
      </c>
      <c r="F1375" s="3">
        <v>0</v>
      </c>
      <c r="G1375" s="5">
        <v>3400</v>
      </c>
    </row>
    <row r="1376" spans="1:7" ht="15" customHeight="1" x14ac:dyDescent="0.25">
      <c r="A1376" s="2" t="s">
        <v>1141</v>
      </c>
      <c r="B1376" s="2" t="s">
        <v>1142</v>
      </c>
      <c r="C1376" s="3">
        <v>8000</v>
      </c>
      <c r="D1376" s="3">
        <v>0</v>
      </c>
      <c r="E1376" s="3">
        <v>0</v>
      </c>
      <c r="F1376" s="3">
        <v>13500</v>
      </c>
      <c r="G1376" s="5">
        <v>13500</v>
      </c>
    </row>
    <row r="1377" spans="1:8" ht="15" customHeight="1" x14ac:dyDescent="0.25">
      <c r="A1377" s="2" t="s">
        <v>1143</v>
      </c>
      <c r="B1377" s="2" t="s">
        <v>1144</v>
      </c>
      <c r="C1377" s="3">
        <v>0</v>
      </c>
      <c r="D1377" s="3">
        <v>0</v>
      </c>
      <c r="E1377" s="3">
        <v>0</v>
      </c>
      <c r="F1377" s="3">
        <v>0</v>
      </c>
      <c r="G1377" s="5">
        <v>0</v>
      </c>
    </row>
    <row r="1378" spans="1:8" ht="15" customHeight="1" x14ac:dyDescent="0.25">
      <c r="A1378" s="1" t="s">
        <v>1145</v>
      </c>
      <c r="B1378" s="1" t="s">
        <v>2</v>
      </c>
      <c r="C1378" s="4">
        <v>53388.29</v>
      </c>
      <c r="D1378" s="4">
        <v>12057.11</v>
      </c>
      <c r="E1378" s="4">
        <f>SUM(E1362:E1377)</f>
        <v>27539.559999999998</v>
      </c>
      <c r="F1378" s="6">
        <f>SUM(F1362:F1377)</f>
        <v>78025</v>
      </c>
      <c r="G1378" s="6">
        <f>SUM(G1362:G1377)</f>
        <v>65321</v>
      </c>
    </row>
    <row r="1379" spans="1:8" ht="15" customHeight="1" x14ac:dyDescent="0.25">
      <c r="A1379" s="25" t="s">
        <v>2757</v>
      </c>
      <c r="B1379" s="25"/>
      <c r="C1379" s="33">
        <f>C1350+C1360-C1378</f>
        <v>107446.63999999998</v>
      </c>
      <c r="D1379" s="33">
        <f t="shared" ref="D1379:F1379" si="37">D1350+D1360-D1378</f>
        <v>123232.87000000001</v>
      </c>
      <c r="E1379" s="33">
        <f t="shared" si="37"/>
        <v>140821.33000000002</v>
      </c>
      <c r="F1379" s="33">
        <f t="shared" si="37"/>
        <v>49421.64</v>
      </c>
      <c r="G1379" s="33">
        <f>G1350+G1360-G1378</f>
        <v>40200.639999999999</v>
      </c>
      <c r="H1379" s="25"/>
    </row>
    <row r="1380" spans="1:8" x14ac:dyDescent="0.25">
      <c r="A1380" s="1" t="s">
        <v>2</v>
      </c>
      <c r="B1380" s="1" t="s">
        <v>2</v>
      </c>
      <c r="C1380" s="1" t="s">
        <v>2</v>
      </c>
      <c r="D1380" s="1" t="s">
        <v>2</v>
      </c>
      <c r="E1380" s="1"/>
      <c r="F1380" s="1" t="s">
        <v>2</v>
      </c>
      <c r="G1380" s="1" t="s">
        <v>2</v>
      </c>
    </row>
    <row r="1381" spans="1:8" ht="15" customHeight="1" x14ac:dyDescent="0.25">
      <c r="A1381" s="27" t="s">
        <v>2764</v>
      </c>
      <c r="B1381" s="27"/>
      <c r="C1381" s="28">
        <v>11045.05</v>
      </c>
      <c r="D1381" s="28">
        <v>5732.97</v>
      </c>
      <c r="E1381" s="28">
        <v>5732.97</v>
      </c>
      <c r="F1381" s="28">
        <v>5732.97</v>
      </c>
      <c r="G1381" s="28">
        <f>F1410</f>
        <v>5732.9700000000012</v>
      </c>
      <c r="H1381" s="27"/>
    </row>
    <row r="1382" spans="1:8" x14ac:dyDescent="0.25">
      <c r="A1382" s="23" t="s">
        <v>1146</v>
      </c>
      <c r="B1382" s="23" t="s">
        <v>2</v>
      </c>
      <c r="C1382" s="29"/>
      <c r="D1382" s="29"/>
      <c r="E1382" s="29"/>
      <c r="F1382" s="29"/>
      <c r="G1382" s="29"/>
      <c r="H1382" s="29"/>
    </row>
    <row r="1383" spans="1:8" x14ac:dyDescent="0.25">
      <c r="A1383" s="23" t="s">
        <v>2026</v>
      </c>
      <c r="B1383" s="23" t="s">
        <v>2</v>
      </c>
      <c r="C1383" s="29"/>
      <c r="D1383" s="29"/>
      <c r="E1383" s="29"/>
      <c r="F1383" s="29"/>
      <c r="G1383" s="29"/>
      <c r="H1383" s="29"/>
    </row>
    <row r="1384" spans="1:8" x14ac:dyDescent="0.25">
      <c r="A1384" s="23" t="s">
        <v>2175</v>
      </c>
      <c r="B1384" s="23" t="s">
        <v>2</v>
      </c>
      <c r="C1384" s="29"/>
      <c r="D1384" s="29"/>
      <c r="E1384" s="29"/>
      <c r="F1384" s="29"/>
      <c r="G1384" s="29"/>
      <c r="H1384" s="29"/>
    </row>
    <row r="1385" spans="1:8" x14ac:dyDescent="0.25">
      <c r="A1385" s="23" t="s">
        <v>2176</v>
      </c>
      <c r="B1385" s="23" t="s">
        <v>2</v>
      </c>
      <c r="C1385" s="29"/>
      <c r="D1385" s="29"/>
      <c r="E1385" s="29"/>
      <c r="F1385" s="29"/>
      <c r="G1385" s="29"/>
      <c r="H1385" s="29"/>
    </row>
    <row r="1386" spans="1:8" x14ac:dyDescent="0.25">
      <c r="A1386" s="30" t="s">
        <v>2765</v>
      </c>
      <c r="B1386" s="30" t="s">
        <v>2409</v>
      </c>
      <c r="C1386" s="31">
        <v>0.42</v>
      </c>
      <c r="D1386" s="31">
        <v>0.28000000000000003</v>
      </c>
      <c r="E1386" s="31">
        <v>0.81</v>
      </c>
      <c r="F1386" s="31">
        <v>0</v>
      </c>
      <c r="G1386" s="31">
        <v>0</v>
      </c>
      <c r="H1386" s="29"/>
    </row>
    <row r="1387" spans="1:8" x14ac:dyDescent="0.25">
      <c r="A1387" s="30" t="s">
        <v>2766</v>
      </c>
      <c r="B1387" s="30" t="s">
        <v>2703</v>
      </c>
      <c r="C1387" s="31">
        <v>0</v>
      </c>
      <c r="D1387" s="31">
        <v>0</v>
      </c>
      <c r="E1387" s="31">
        <v>0</v>
      </c>
      <c r="F1387" s="31">
        <v>0</v>
      </c>
      <c r="G1387" s="31">
        <v>0</v>
      </c>
      <c r="H1387" s="29"/>
    </row>
    <row r="1388" spans="1:8" ht="24" x14ac:dyDescent="0.25">
      <c r="A1388" s="23" t="s">
        <v>2179</v>
      </c>
      <c r="B1388" s="23" t="s">
        <v>2</v>
      </c>
      <c r="C1388" s="32">
        <v>0.42</v>
      </c>
      <c r="D1388" s="32">
        <v>0.28000000000000003</v>
      </c>
      <c r="E1388" s="32">
        <f>SUM(E1386:E1387)</f>
        <v>0.81</v>
      </c>
      <c r="F1388" s="32">
        <f>SUM(F1386:F1387)</f>
        <v>0</v>
      </c>
      <c r="G1388" s="32">
        <f>SUM(G1386:G1387)</f>
        <v>0</v>
      </c>
      <c r="H1388" s="29"/>
    </row>
    <row r="1389" spans="1:8" x14ac:dyDescent="0.25">
      <c r="A1389" s="23" t="s">
        <v>2</v>
      </c>
      <c r="B1389" s="23" t="s">
        <v>2</v>
      </c>
      <c r="C1389" s="23" t="s">
        <v>2</v>
      </c>
      <c r="D1389" s="23" t="s">
        <v>2</v>
      </c>
      <c r="E1389" s="23"/>
      <c r="F1389" s="23" t="s">
        <v>2</v>
      </c>
      <c r="G1389" s="23" t="s">
        <v>2</v>
      </c>
      <c r="H1389" s="29"/>
    </row>
    <row r="1390" spans="1:8" x14ac:dyDescent="0.25">
      <c r="A1390" s="23" t="s">
        <v>2724</v>
      </c>
      <c r="B1390" s="23" t="s">
        <v>2</v>
      </c>
      <c r="C1390" s="29"/>
      <c r="D1390" s="29"/>
      <c r="E1390" s="29"/>
      <c r="F1390" s="29"/>
      <c r="G1390" s="29"/>
      <c r="H1390" s="29"/>
    </row>
    <row r="1391" spans="1:8" x14ac:dyDescent="0.25">
      <c r="A1391" s="30" t="s">
        <v>2767</v>
      </c>
      <c r="B1391" s="30" t="s">
        <v>2768</v>
      </c>
      <c r="C1391" s="31">
        <v>0</v>
      </c>
      <c r="D1391" s="31">
        <v>0</v>
      </c>
      <c r="E1391" s="31">
        <v>0</v>
      </c>
      <c r="F1391" s="31">
        <v>0</v>
      </c>
      <c r="G1391" s="58">
        <v>0</v>
      </c>
      <c r="H1391" s="29"/>
    </row>
    <row r="1392" spans="1:8" x14ac:dyDescent="0.25">
      <c r="A1392" s="30" t="s">
        <v>2769</v>
      </c>
      <c r="B1392" s="30" t="s">
        <v>2770</v>
      </c>
      <c r="C1392" s="31">
        <v>70272</v>
      </c>
      <c r="D1392" s="31">
        <v>0</v>
      </c>
      <c r="E1392" s="31">
        <v>0</v>
      </c>
      <c r="F1392" s="31">
        <v>70272</v>
      </c>
      <c r="G1392" s="58">
        <v>0</v>
      </c>
      <c r="H1392" s="29"/>
    </row>
    <row r="1393" spans="1:8" x14ac:dyDescent="0.25">
      <c r="A1393" s="30" t="s">
        <v>2771</v>
      </c>
      <c r="B1393" s="30" t="s">
        <v>2772</v>
      </c>
      <c r="C1393" s="31">
        <v>45312.5</v>
      </c>
      <c r="D1393" s="31">
        <v>0</v>
      </c>
      <c r="E1393" s="31">
        <v>0</v>
      </c>
      <c r="F1393" s="31">
        <v>49425</v>
      </c>
      <c r="G1393" s="58">
        <v>0</v>
      </c>
      <c r="H1393" s="29"/>
    </row>
    <row r="1394" spans="1:8" x14ac:dyDescent="0.25">
      <c r="A1394" s="23" t="s">
        <v>2725</v>
      </c>
      <c r="B1394" s="23" t="s">
        <v>2</v>
      </c>
      <c r="C1394" s="32">
        <v>115584.5</v>
      </c>
      <c r="D1394" s="32">
        <v>0</v>
      </c>
      <c r="E1394" s="32">
        <f>SUM(E1391:E1393)</f>
        <v>0</v>
      </c>
      <c r="F1394" s="32">
        <f>SUM(F1391:F1393)</f>
        <v>119697</v>
      </c>
      <c r="G1394" s="32">
        <f>SUM(G1391:G1393)</f>
        <v>0</v>
      </c>
      <c r="H1394" s="29"/>
    </row>
    <row r="1395" spans="1:8" x14ac:dyDescent="0.25">
      <c r="A1395" s="23" t="s">
        <v>2</v>
      </c>
      <c r="B1395" s="23" t="s">
        <v>2</v>
      </c>
      <c r="C1395" s="23" t="s">
        <v>2</v>
      </c>
      <c r="D1395" s="23" t="s">
        <v>2</v>
      </c>
      <c r="E1395" s="23"/>
      <c r="F1395" s="23" t="s">
        <v>2</v>
      </c>
      <c r="G1395" s="23" t="s">
        <v>2</v>
      </c>
      <c r="H1395" s="29"/>
    </row>
    <row r="1396" spans="1:8" x14ac:dyDescent="0.25">
      <c r="A1396" s="23" t="s">
        <v>2047</v>
      </c>
      <c r="B1396" s="23" t="s">
        <v>2</v>
      </c>
      <c r="C1396" s="32">
        <v>115584.92</v>
      </c>
      <c r="D1396" s="32">
        <v>0.28000000000000003</v>
      </c>
      <c r="E1396" s="32">
        <f>E1388+E1394</f>
        <v>0.81</v>
      </c>
      <c r="F1396" s="32">
        <f>F1388+F1394</f>
        <v>119697</v>
      </c>
      <c r="G1396" s="32">
        <f>G1388+G1394</f>
        <v>0</v>
      </c>
      <c r="H1396" s="29"/>
    </row>
    <row r="1397" spans="1:8" x14ac:dyDescent="0.25">
      <c r="A1397" s="1" t="s">
        <v>740</v>
      </c>
      <c r="B1397" s="1" t="s">
        <v>2</v>
      </c>
      <c r="C1397" s="1" t="s">
        <v>2</v>
      </c>
      <c r="D1397" s="1" t="s">
        <v>2</v>
      </c>
      <c r="E1397" s="1"/>
      <c r="F1397" s="1" t="s">
        <v>2</v>
      </c>
      <c r="G1397" s="1" t="s">
        <v>2</v>
      </c>
    </row>
    <row r="1398" spans="1:8" ht="15" customHeight="1" x14ac:dyDescent="0.25">
      <c r="A1398" s="1" t="s">
        <v>556</v>
      </c>
      <c r="B1398" s="1" t="s">
        <v>2</v>
      </c>
    </row>
    <row r="1399" spans="1:8" ht="27" customHeight="1" x14ac:dyDescent="0.25">
      <c r="A1399" s="1" t="s">
        <v>1147</v>
      </c>
      <c r="B1399" s="1" t="s">
        <v>2</v>
      </c>
    </row>
    <row r="1400" spans="1:8" x14ac:dyDescent="0.25">
      <c r="A1400" s="2" t="s">
        <v>1148</v>
      </c>
      <c r="B1400" s="2" t="s">
        <v>1149</v>
      </c>
      <c r="C1400" s="3">
        <v>40000</v>
      </c>
      <c r="D1400" s="3">
        <v>0</v>
      </c>
      <c r="E1400" s="3">
        <v>0</v>
      </c>
      <c r="F1400" s="3">
        <v>40000</v>
      </c>
      <c r="G1400" s="59">
        <v>40000</v>
      </c>
    </row>
    <row r="1401" spans="1:8" x14ac:dyDescent="0.25">
      <c r="A1401" s="2" t="s">
        <v>1150</v>
      </c>
      <c r="B1401" s="2" t="s">
        <v>1151</v>
      </c>
      <c r="C1401" s="3">
        <v>63317</v>
      </c>
      <c r="D1401" s="3">
        <v>0</v>
      </c>
      <c r="E1401" s="3">
        <v>0</v>
      </c>
      <c r="F1401" s="3">
        <v>64267</v>
      </c>
      <c r="G1401" s="59">
        <v>65231</v>
      </c>
    </row>
    <row r="1402" spans="1:8" ht="26.25" customHeight="1" x14ac:dyDescent="0.25">
      <c r="A1402" s="1" t="s">
        <v>1152</v>
      </c>
      <c r="B1402" s="1" t="s">
        <v>2</v>
      </c>
      <c r="C1402" s="4">
        <v>103317</v>
      </c>
      <c r="D1402" s="4">
        <v>0</v>
      </c>
      <c r="E1402" s="4">
        <f>SUM(E1400:E1401)</f>
        <v>0</v>
      </c>
      <c r="F1402" s="6">
        <f>SUM(F1400:F1401)</f>
        <v>104267</v>
      </c>
      <c r="G1402" s="6">
        <f>SUM(G1400:G1401)</f>
        <v>105231</v>
      </c>
    </row>
    <row r="1403" spans="1:8" x14ac:dyDescent="0.25">
      <c r="A1403" s="1" t="s">
        <v>2</v>
      </c>
      <c r="B1403" s="1" t="s">
        <v>2</v>
      </c>
      <c r="C1403" s="1" t="s">
        <v>2</v>
      </c>
      <c r="D1403" s="1" t="s">
        <v>2</v>
      </c>
      <c r="E1403" s="1"/>
      <c r="F1403" s="1" t="s">
        <v>2</v>
      </c>
      <c r="G1403" s="1" t="s">
        <v>2</v>
      </c>
    </row>
    <row r="1404" spans="1:8" ht="15" customHeight="1" x14ac:dyDescent="0.25">
      <c r="A1404" s="1" t="s">
        <v>1153</v>
      </c>
      <c r="B1404" s="1" t="s">
        <v>2</v>
      </c>
    </row>
    <row r="1405" spans="1:8" x14ac:dyDescent="0.25">
      <c r="A1405" s="2" t="s">
        <v>1154</v>
      </c>
      <c r="B1405" s="2" t="s">
        <v>1155</v>
      </c>
      <c r="C1405" s="3">
        <v>10625</v>
      </c>
      <c r="D1405" s="3">
        <v>0</v>
      </c>
      <c r="E1405" s="3">
        <v>4712.5</v>
      </c>
      <c r="F1405" s="3">
        <v>9425</v>
      </c>
      <c r="G1405" s="59">
        <v>8225</v>
      </c>
    </row>
    <row r="1406" spans="1:8" ht="15" customHeight="1" x14ac:dyDescent="0.25">
      <c r="A1406" s="2" t="s">
        <v>1156</v>
      </c>
      <c r="B1406" s="2" t="s">
        <v>1157</v>
      </c>
      <c r="C1406" s="3">
        <v>6955</v>
      </c>
      <c r="D1406" s="3">
        <v>0</v>
      </c>
      <c r="E1406" s="3">
        <v>0</v>
      </c>
      <c r="F1406" s="3">
        <v>6005</v>
      </c>
      <c r="G1406" s="59">
        <v>5041</v>
      </c>
    </row>
    <row r="1407" spans="1:8" ht="15" customHeight="1" x14ac:dyDescent="0.25">
      <c r="A1407" s="1" t="s">
        <v>1158</v>
      </c>
      <c r="B1407" s="1" t="s">
        <v>2</v>
      </c>
      <c r="C1407" s="4">
        <v>17580</v>
      </c>
      <c r="D1407" s="4">
        <v>0</v>
      </c>
      <c r="E1407" s="4">
        <f>SUM(E1405:E1406)</f>
        <v>4712.5</v>
      </c>
      <c r="F1407" s="6">
        <f>SUM(F1405:F1406)</f>
        <v>15430</v>
      </c>
      <c r="G1407" s="6">
        <f>SUM(G1405:G1406)</f>
        <v>13266</v>
      </c>
    </row>
    <row r="1408" spans="1:8" x14ac:dyDescent="0.25">
      <c r="A1408" s="1" t="s">
        <v>2</v>
      </c>
      <c r="B1408" s="1" t="s">
        <v>2</v>
      </c>
      <c r="C1408" s="1" t="s">
        <v>2</v>
      </c>
      <c r="D1408" s="1" t="s">
        <v>2</v>
      </c>
      <c r="E1408" s="1"/>
      <c r="F1408" s="1" t="s">
        <v>2</v>
      </c>
      <c r="G1408" s="1" t="s">
        <v>2</v>
      </c>
    </row>
    <row r="1409" spans="1:8" ht="15" customHeight="1" x14ac:dyDescent="0.25">
      <c r="A1409" s="1" t="s">
        <v>1159</v>
      </c>
      <c r="B1409" s="1" t="s">
        <v>2</v>
      </c>
      <c r="C1409" s="4">
        <v>120897</v>
      </c>
      <c r="D1409" s="4">
        <v>0</v>
      </c>
      <c r="E1409" s="4">
        <f>E1402+E1407</f>
        <v>4712.5</v>
      </c>
      <c r="F1409" s="6">
        <f>F1407+F1402</f>
        <v>119697</v>
      </c>
      <c r="G1409" s="6">
        <f>G1407+G1402</f>
        <v>118497</v>
      </c>
    </row>
    <row r="1410" spans="1:8" ht="15" customHeight="1" x14ac:dyDescent="0.25">
      <c r="A1410" s="25" t="s">
        <v>2773</v>
      </c>
      <c r="B1410" s="25"/>
      <c r="C1410" s="33">
        <f>C1381+C1396-C1409</f>
        <v>5732.9700000000012</v>
      </c>
      <c r="D1410" s="33">
        <f t="shared" ref="D1410:G1410" si="38">D1381+D1396-D1409</f>
        <v>5733.25</v>
      </c>
      <c r="E1410" s="33">
        <f t="shared" si="38"/>
        <v>1021.2800000000007</v>
      </c>
      <c r="F1410" s="33">
        <f t="shared" si="38"/>
        <v>5732.9700000000012</v>
      </c>
      <c r="G1410" s="33">
        <f t="shared" si="38"/>
        <v>-112764.03</v>
      </c>
      <c r="H1410" s="25"/>
    </row>
    <row r="1411" spans="1:8" x14ac:dyDescent="0.25">
      <c r="A1411" s="1" t="s">
        <v>2</v>
      </c>
      <c r="B1411" s="1" t="s">
        <v>2</v>
      </c>
      <c r="C1411" s="36"/>
      <c r="D1411" s="1"/>
      <c r="E1411" s="1"/>
      <c r="F1411" s="36"/>
      <c r="G1411" s="36"/>
    </row>
    <row r="1412" spans="1:8" ht="15" customHeight="1" x14ac:dyDescent="0.25">
      <c r="A1412" s="27" t="s">
        <v>2774</v>
      </c>
      <c r="B1412" s="27"/>
      <c r="C1412" s="28">
        <v>32829.660000000003</v>
      </c>
      <c r="D1412" s="28">
        <v>14774.97</v>
      </c>
      <c r="E1412" s="28">
        <v>14774.97</v>
      </c>
      <c r="F1412" s="28">
        <v>14774.97</v>
      </c>
      <c r="G1412" s="28">
        <f>F1449</f>
        <v>1297.2699999999968</v>
      </c>
      <c r="H1412" s="27"/>
    </row>
    <row r="1413" spans="1:8" ht="24" x14ac:dyDescent="0.25">
      <c r="A1413" s="23" t="s">
        <v>1160</v>
      </c>
      <c r="B1413" s="23" t="s">
        <v>2</v>
      </c>
      <c r="C1413" s="29"/>
      <c r="D1413" s="29"/>
      <c r="E1413" s="29"/>
      <c r="F1413" s="29"/>
      <c r="G1413" s="29"/>
      <c r="H1413" s="29"/>
    </row>
    <row r="1414" spans="1:8" x14ac:dyDescent="0.25">
      <c r="A1414" s="23" t="s">
        <v>2026</v>
      </c>
      <c r="B1414" s="23" t="s">
        <v>2</v>
      </c>
      <c r="C1414" s="29"/>
      <c r="D1414" s="29"/>
      <c r="E1414" s="29"/>
      <c r="F1414" s="29"/>
      <c r="G1414" s="29"/>
      <c r="H1414" s="29"/>
    </row>
    <row r="1415" spans="1:8" x14ac:dyDescent="0.25">
      <c r="A1415" s="23" t="s">
        <v>2175</v>
      </c>
      <c r="B1415" s="23" t="s">
        <v>2</v>
      </c>
      <c r="C1415" s="29"/>
      <c r="D1415" s="29"/>
      <c r="E1415" s="29"/>
      <c r="F1415" s="29"/>
      <c r="G1415" s="29"/>
      <c r="H1415" s="29"/>
    </row>
    <row r="1416" spans="1:8" x14ac:dyDescent="0.25">
      <c r="A1416" s="23" t="s">
        <v>2176</v>
      </c>
      <c r="B1416" s="23" t="s">
        <v>2</v>
      </c>
      <c r="C1416" s="29"/>
      <c r="D1416" s="29"/>
      <c r="E1416" s="29"/>
      <c r="F1416" s="29"/>
      <c r="G1416" s="29"/>
      <c r="H1416" s="29"/>
    </row>
    <row r="1417" spans="1:8" x14ac:dyDescent="0.25">
      <c r="A1417" s="30" t="s">
        <v>2775</v>
      </c>
      <c r="B1417" s="30" t="s">
        <v>2409</v>
      </c>
      <c r="C1417" s="31">
        <v>0</v>
      </c>
      <c r="D1417" s="31">
        <v>0</v>
      </c>
      <c r="E1417" s="31">
        <v>0</v>
      </c>
      <c r="F1417" s="31">
        <v>0</v>
      </c>
      <c r="G1417" s="31">
        <v>0</v>
      </c>
      <c r="H1417" s="29"/>
    </row>
    <row r="1418" spans="1:8" x14ac:dyDescent="0.25">
      <c r="A1418" s="30" t="s">
        <v>2776</v>
      </c>
      <c r="B1418" s="30" t="s">
        <v>2777</v>
      </c>
      <c r="C1418" s="31">
        <v>3896.92</v>
      </c>
      <c r="D1418" s="31">
        <v>0</v>
      </c>
      <c r="E1418" s="31">
        <v>1832.53</v>
      </c>
      <c r="F1418" s="31">
        <v>3000</v>
      </c>
      <c r="G1418" s="31">
        <v>3000</v>
      </c>
      <c r="H1418" s="29"/>
    </row>
    <row r="1419" spans="1:8" x14ac:dyDescent="0.25">
      <c r="A1419" s="30" t="s">
        <v>2778</v>
      </c>
      <c r="B1419" s="30" t="s">
        <v>2779</v>
      </c>
      <c r="C1419" s="31">
        <v>0</v>
      </c>
      <c r="D1419" s="31">
        <v>0</v>
      </c>
      <c r="E1419" s="31">
        <v>0</v>
      </c>
      <c r="F1419" s="31">
        <v>0</v>
      </c>
      <c r="G1419" s="31">
        <v>0</v>
      </c>
      <c r="H1419" s="29"/>
    </row>
    <row r="1420" spans="1:8" ht="24" x14ac:dyDescent="0.25">
      <c r="A1420" s="23" t="s">
        <v>2179</v>
      </c>
      <c r="B1420" s="23" t="s">
        <v>2</v>
      </c>
      <c r="C1420" s="32">
        <v>3896.92</v>
      </c>
      <c r="D1420" s="32">
        <v>0</v>
      </c>
      <c r="E1420" s="32">
        <f>SUM(E1417:E1419)</f>
        <v>1832.53</v>
      </c>
      <c r="F1420" s="32">
        <f>SUM(F1417:F1419)</f>
        <v>3000</v>
      </c>
      <c r="G1420" s="32">
        <f>SUM(G1417:G1419)</f>
        <v>3000</v>
      </c>
      <c r="H1420" s="29"/>
    </row>
    <row r="1421" spans="1:8" x14ac:dyDescent="0.25">
      <c r="A1421" s="23" t="s">
        <v>2</v>
      </c>
      <c r="B1421" s="23" t="s">
        <v>2</v>
      </c>
      <c r="C1421" s="23" t="s">
        <v>2</v>
      </c>
      <c r="D1421" s="23" t="s">
        <v>2</v>
      </c>
      <c r="E1421" s="23"/>
      <c r="F1421" s="23" t="s">
        <v>2</v>
      </c>
      <c r="G1421" s="23" t="s">
        <v>2</v>
      </c>
      <c r="H1421" s="29"/>
    </row>
    <row r="1422" spans="1:8" x14ac:dyDescent="0.25">
      <c r="A1422" s="23" t="s">
        <v>2780</v>
      </c>
      <c r="B1422" s="23" t="s">
        <v>2</v>
      </c>
      <c r="C1422" s="29"/>
      <c r="D1422" s="29"/>
      <c r="E1422" s="29"/>
      <c r="F1422" s="29"/>
      <c r="G1422" s="29"/>
      <c r="H1422" s="29"/>
    </row>
    <row r="1423" spans="1:8" x14ac:dyDescent="0.25">
      <c r="A1423" s="30" t="s">
        <v>2781</v>
      </c>
      <c r="B1423" s="30" t="s">
        <v>2782</v>
      </c>
      <c r="C1423" s="31">
        <v>14660.39</v>
      </c>
      <c r="D1423" s="31">
        <v>0</v>
      </c>
      <c r="E1423" s="31">
        <v>9855.2900000000009</v>
      </c>
      <c r="F1423" s="31">
        <v>14424.3</v>
      </c>
      <c r="G1423" s="31">
        <v>14000</v>
      </c>
      <c r="H1423" s="29"/>
    </row>
    <row r="1424" spans="1:8" x14ac:dyDescent="0.25">
      <c r="A1424" s="23" t="s">
        <v>2783</v>
      </c>
      <c r="B1424" s="23" t="s">
        <v>2</v>
      </c>
      <c r="C1424" s="32">
        <v>14660.39</v>
      </c>
      <c r="D1424" s="32">
        <v>0</v>
      </c>
      <c r="E1424" s="32">
        <f>E1423</f>
        <v>9855.2900000000009</v>
      </c>
      <c r="F1424" s="32">
        <f>SUM(F1423)</f>
        <v>14424.3</v>
      </c>
      <c r="G1424" s="32">
        <f>SUM(G1423)</f>
        <v>14000</v>
      </c>
      <c r="H1424" s="29"/>
    </row>
    <row r="1425" spans="1:8" x14ac:dyDescent="0.25">
      <c r="A1425" s="23" t="s">
        <v>2</v>
      </c>
      <c r="B1425" s="23" t="s">
        <v>2</v>
      </c>
      <c r="C1425" s="23" t="s">
        <v>2</v>
      </c>
      <c r="D1425" s="23" t="s">
        <v>2</v>
      </c>
      <c r="E1425" s="23"/>
      <c r="F1425" s="23" t="s">
        <v>2</v>
      </c>
      <c r="G1425" s="23" t="s">
        <v>2</v>
      </c>
      <c r="H1425" s="29"/>
    </row>
    <row r="1426" spans="1:8" ht="24" x14ac:dyDescent="0.25">
      <c r="A1426" s="23" t="s">
        <v>2180</v>
      </c>
      <c r="B1426" s="23" t="s">
        <v>2</v>
      </c>
      <c r="C1426" s="32">
        <v>18557.310000000001</v>
      </c>
      <c r="D1426" s="32">
        <v>0</v>
      </c>
      <c r="E1426" s="32">
        <f>E1420+E1424</f>
        <v>11687.820000000002</v>
      </c>
      <c r="F1426" s="32">
        <f>F1420+F1424</f>
        <v>17424.3</v>
      </c>
      <c r="G1426" s="32">
        <f>G1420+G1424</f>
        <v>17000</v>
      </c>
      <c r="H1426" s="29"/>
    </row>
    <row r="1427" spans="1:8" x14ac:dyDescent="0.25">
      <c r="A1427" s="23" t="s">
        <v>2</v>
      </c>
      <c r="B1427" s="23" t="s">
        <v>2</v>
      </c>
      <c r="C1427" s="23" t="s">
        <v>2</v>
      </c>
      <c r="D1427" s="23" t="s">
        <v>2</v>
      </c>
      <c r="E1427" s="23"/>
      <c r="F1427" s="23" t="s">
        <v>2</v>
      </c>
      <c r="G1427" s="23" t="s">
        <v>2</v>
      </c>
      <c r="H1427" s="29"/>
    </row>
    <row r="1428" spans="1:8" x14ac:dyDescent="0.25">
      <c r="A1428" s="23" t="s">
        <v>2553</v>
      </c>
      <c r="B1428" s="23" t="s">
        <v>2</v>
      </c>
      <c r="C1428" s="29"/>
      <c r="D1428" s="29"/>
      <c r="E1428" s="29"/>
      <c r="F1428" s="29"/>
      <c r="G1428" s="29"/>
      <c r="H1428" s="29"/>
    </row>
    <row r="1429" spans="1:8" x14ac:dyDescent="0.25">
      <c r="A1429" s="23" t="s">
        <v>2724</v>
      </c>
      <c r="B1429" s="23" t="s">
        <v>2</v>
      </c>
      <c r="C1429" s="29"/>
      <c r="D1429" s="29"/>
      <c r="E1429" s="29"/>
      <c r="F1429" s="29"/>
      <c r="G1429" s="29"/>
      <c r="H1429" s="29"/>
    </row>
    <row r="1430" spans="1:8" x14ac:dyDescent="0.25">
      <c r="A1430" s="30" t="s">
        <v>2784</v>
      </c>
      <c r="B1430" s="30" t="s">
        <v>2785</v>
      </c>
      <c r="C1430" s="31">
        <v>0</v>
      </c>
      <c r="D1430" s="31">
        <v>0</v>
      </c>
      <c r="E1430" s="31">
        <v>0</v>
      </c>
      <c r="F1430" s="31">
        <v>0</v>
      </c>
      <c r="G1430" s="31">
        <v>0</v>
      </c>
      <c r="H1430" s="29"/>
    </row>
    <row r="1431" spans="1:8" x14ac:dyDescent="0.25">
      <c r="A1431" s="23" t="s">
        <v>2725</v>
      </c>
      <c r="B1431" s="23" t="s">
        <v>2</v>
      </c>
      <c r="C1431" s="32">
        <v>0</v>
      </c>
      <c r="D1431" s="32">
        <v>0</v>
      </c>
      <c r="E1431" s="32">
        <f>E1430</f>
        <v>0</v>
      </c>
      <c r="F1431" s="32">
        <f>SUM(F1430)</f>
        <v>0</v>
      </c>
      <c r="G1431" s="32">
        <f>SUM(G1430)</f>
        <v>0</v>
      </c>
      <c r="H1431" s="29"/>
    </row>
    <row r="1432" spans="1:8" x14ac:dyDescent="0.25">
      <c r="A1432" s="23" t="s">
        <v>2</v>
      </c>
      <c r="B1432" s="23" t="s">
        <v>2</v>
      </c>
      <c r="C1432" s="23" t="s">
        <v>2</v>
      </c>
      <c r="D1432" s="23" t="s">
        <v>2</v>
      </c>
      <c r="E1432" s="23"/>
      <c r="F1432" s="23" t="s">
        <v>2</v>
      </c>
      <c r="G1432" s="23" t="s">
        <v>2</v>
      </c>
      <c r="H1432" s="29"/>
    </row>
    <row r="1433" spans="1:8" x14ac:dyDescent="0.25">
      <c r="A1433" s="23" t="s">
        <v>2047</v>
      </c>
      <c r="B1433" s="23" t="s">
        <v>2</v>
      </c>
      <c r="C1433" s="32">
        <v>18557.310000000001</v>
      </c>
      <c r="D1433" s="32">
        <v>0</v>
      </c>
      <c r="E1433" s="32">
        <f>E1426+E1431</f>
        <v>11687.820000000002</v>
      </c>
      <c r="F1433" s="32">
        <f>F1431+F1426</f>
        <v>17424.3</v>
      </c>
      <c r="G1433" s="32">
        <f>G1431+G1426</f>
        <v>17000</v>
      </c>
      <c r="H1433" s="29"/>
    </row>
    <row r="1434" spans="1:8" ht="15" customHeight="1" x14ac:dyDescent="0.25">
      <c r="A1434" s="1" t="s">
        <v>740</v>
      </c>
      <c r="B1434" s="1" t="s">
        <v>2</v>
      </c>
      <c r="D1434" s="40"/>
      <c r="E1434" s="40"/>
    </row>
    <row r="1435" spans="1:8" ht="15" customHeight="1" x14ac:dyDescent="0.25">
      <c r="A1435" s="1" t="s">
        <v>556</v>
      </c>
      <c r="B1435" s="1" t="s">
        <v>2</v>
      </c>
    </row>
    <row r="1436" spans="1:8" ht="26.25" customHeight="1" x14ac:dyDescent="0.25">
      <c r="A1436" s="1" t="s">
        <v>1161</v>
      </c>
      <c r="B1436" s="1" t="s">
        <v>2</v>
      </c>
    </row>
    <row r="1437" spans="1:8" ht="15" customHeight="1" x14ac:dyDescent="0.25">
      <c r="A1437" s="2" t="s">
        <v>1162</v>
      </c>
      <c r="B1437" s="2" t="s">
        <v>1163</v>
      </c>
      <c r="C1437" s="3">
        <v>32111.62</v>
      </c>
      <c r="D1437" s="3">
        <v>0</v>
      </c>
      <c r="E1437" s="3">
        <v>0</v>
      </c>
      <c r="F1437" s="3">
        <v>28000</v>
      </c>
      <c r="G1437" s="59">
        <v>18704.22</v>
      </c>
    </row>
    <row r="1438" spans="1:8" ht="27.75" customHeight="1" x14ac:dyDescent="0.25">
      <c r="A1438" s="1" t="s">
        <v>1164</v>
      </c>
      <c r="B1438" s="1" t="s">
        <v>2</v>
      </c>
      <c r="C1438" s="4">
        <v>32111.62</v>
      </c>
      <c r="D1438" s="4">
        <v>0</v>
      </c>
      <c r="E1438" s="4">
        <f>E1437</f>
        <v>0</v>
      </c>
      <c r="F1438" s="6">
        <f>SUM(F1437)</f>
        <v>28000</v>
      </c>
      <c r="G1438" s="61">
        <f>SUM(G1437)</f>
        <v>18704.22</v>
      </c>
    </row>
    <row r="1439" spans="1:8" x14ac:dyDescent="0.25">
      <c r="A1439" s="1" t="s">
        <v>2</v>
      </c>
      <c r="B1439" s="1" t="s">
        <v>2</v>
      </c>
      <c r="C1439" s="1" t="s">
        <v>2</v>
      </c>
      <c r="D1439" s="1" t="s">
        <v>2</v>
      </c>
      <c r="E1439" s="1"/>
      <c r="F1439" s="1" t="s">
        <v>2</v>
      </c>
      <c r="G1439" s="62" t="s">
        <v>2</v>
      </c>
    </row>
    <row r="1440" spans="1:8" ht="15" customHeight="1" x14ac:dyDescent="0.25">
      <c r="A1440" s="1" t="s">
        <v>1153</v>
      </c>
      <c r="B1440" s="1" t="s">
        <v>2</v>
      </c>
      <c r="G1440" s="63"/>
    </row>
    <row r="1441" spans="1:8" ht="15" customHeight="1" x14ac:dyDescent="0.25">
      <c r="A1441" s="2" t="s">
        <v>1165</v>
      </c>
      <c r="B1441" s="2" t="s">
        <v>1166</v>
      </c>
      <c r="C1441" s="3">
        <v>4500.38</v>
      </c>
      <c r="D1441" s="3">
        <v>0</v>
      </c>
      <c r="E1441" s="3">
        <v>0</v>
      </c>
      <c r="F1441" s="3">
        <v>2902</v>
      </c>
      <c r="G1441" s="59">
        <v>0</v>
      </c>
    </row>
    <row r="1442" spans="1:8" ht="15" customHeight="1" x14ac:dyDescent="0.25">
      <c r="A1442" s="1" t="s">
        <v>1158</v>
      </c>
      <c r="B1442" s="1" t="s">
        <v>2</v>
      </c>
      <c r="C1442" s="4">
        <v>4500.38</v>
      </c>
      <c r="D1442" s="4">
        <v>0</v>
      </c>
      <c r="E1442" s="4">
        <f>E1441</f>
        <v>0</v>
      </c>
      <c r="F1442" s="6">
        <f>SUM(F1441)</f>
        <v>2902</v>
      </c>
      <c r="G1442" s="61">
        <f>SUM(G1441)</f>
        <v>0</v>
      </c>
    </row>
    <row r="1443" spans="1:8" x14ac:dyDescent="0.25">
      <c r="A1443" s="1" t="s">
        <v>2</v>
      </c>
      <c r="B1443" s="1" t="s">
        <v>2</v>
      </c>
      <c r="C1443" s="1" t="s">
        <v>2</v>
      </c>
      <c r="D1443" s="1" t="s">
        <v>2</v>
      </c>
      <c r="E1443" s="1"/>
      <c r="F1443" s="1" t="s">
        <v>2</v>
      </c>
      <c r="G1443" s="62" t="s">
        <v>2</v>
      </c>
    </row>
    <row r="1444" spans="1:8" ht="15" customHeight="1" x14ac:dyDescent="0.25">
      <c r="A1444" s="1" t="s">
        <v>706</v>
      </c>
      <c r="B1444" s="1" t="s">
        <v>2</v>
      </c>
      <c r="G1444" s="63"/>
    </row>
    <row r="1445" spans="1:8" x14ac:dyDescent="0.25">
      <c r="A1445" s="2" t="s">
        <v>1167</v>
      </c>
      <c r="B1445" s="2" t="s">
        <v>1168</v>
      </c>
      <c r="C1445" s="3">
        <v>0</v>
      </c>
      <c r="D1445" s="3">
        <v>0</v>
      </c>
      <c r="E1445" s="3">
        <v>0</v>
      </c>
      <c r="F1445" s="3">
        <v>0</v>
      </c>
      <c r="G1445" s="59">
        <v>0</v>
      </c>
    </row>
    <row r="1446" spans="1:8" ht="15" customHeight="1" x14ac:dyDescent="0.25">
      <c r="A1446" s="1" t="s">
        <v>737</v>
      </c>
      <c r="B1446" s="1" t="s">
        <v>2</v>
      </c>
      <c r="C1446" s="4">
        <v>0</v>
      </c>
      <c r="D1446" s="4">
        <v>0</v>
      </c>
      <c r="E1446" s="4">
        <f>E1445</f>
        <v>0</v>
      </c>
      <c r="F1446" s="6">
        <f>SUM(F1445)</f>
        <v>0</v>
      </c>
      <c r="G1446" s="61">
        <f>SUM(G1445)</f>
        <v>0</v>
      </c>
    </row>
    <row r="1447" spans="1:8" x14ac:dyDescent="0.25">
      <c r="A1447" s="1" t="s">
        <v>2</v>
      </c>
      <c r="B1447" s="1" t="s">
        <v>2</v>
      </c>
      <c r="C1447" s="1" t="s">
        <v>2</v>
      </c>
      <c r="D1447" s="1" t="s">
        <v>2</v>
      </c>
      <c r="E1447" s="1"/>
      <c r="F1447" s="1" t="s">
        <v>2</v>
      </c>
      <c r="G1447" s="62" t="s">
        <v>2</v>
      </c>
    </row>
    <row r="1448" spans="1:8" ht="15" customHeight="1" x14ac:dyDescent="0.25">
      <c r="A1448" s="1" t="s">
        <v>1169</v>
      </c>
      <c r="B1448" s="1" t="s">
        <v>2</v>
      </c>
      <c r="C1448" s="4">
        <v>36612</v>
      </c>
      <c r="D1448" s="4">
        <v>0</v>
      </c>
      <c r="E1448" s="4">
        <f>E1438+E1442+E1446</f>
        <v>0</v>
      </c>
      <c r="F1448" s="6">
        <f>F1438+F1442+F1446</f>
        <v>30902</v>
      </c>
      <c r="G1448" s="61">
        <f>G1438+G1442+G1446</f>
        <v>18704.22</v>
      </c>
    </row>
    <row r="1449" spans="1:8" ht="15" customHeight="1" x14ac:dyDescent="0.25">
      <c r="A1449" s="25" t="s">
        <v>2786</v>
      </c>
      <c r="B1449" s="25"/>
      <c r="C1449" s="33">
        <f>C1412+C1433-C1448</f>
        <v>14774.970000000001</v>
      </c>
      <c r="D1449" s="33">
        <f t="shared" ref="D1449:G1449" si="39">D1412+D1433-D1448</f>
        <v>14774.97</v>
      </c>
      <c r="E1449" s="33">
        <f t="shared" si="39"/>
        <v>26462.79</v>
      </c>
      <c r="F1449" s="33">
        <f t="shared" si="39"/>
        <v>1297.2699999999968</v>
      </c>
      <c r="G1449" s="33">
        <f t="shared" si="39"/>
        <v>-406.95000000000437</v>
      </c>
      <c r="H1449" s="25"/>
    </row>
    <row r="1450" spans="1:8" x14ac:dyDescent="0.25">
      <c r="A1450" s="1" t="s">
        <v>2</v>
      </c>
      <c r="B1450" s="1" t="s">
        <v>2</v>
      </c>
      <c r="C1450" s="1" t="s">
        <v>2</v>
      </c>
      <c r="D1450" s="1" t="s">
        <v>2</v>
      </c>
      <c r="E1450" s="1"/>
      <c r="F1450" s="1" t="s">
        <v>2</v>
      </c>
      <c r="G1450" s="1" t="s">
        <v>2</v>
      </c>
    </row>
    <row r="1451" spans="1:8" ht="15" customHeight="1" x14ac:dyDescent="0.25">
      <c r="A1451" s="27" t="s">
        <v>2787</v>
      </c>
      <c r="B1451" s="27" t="s">
        <v>2</v>
      </c>
      <c r="C1451" s="28">
        <v>29799.599999999999</v>
      </c>
      <c r="D1451" s="28">
        <v>29831.03</v>
      </c>
      <c r="E1451" s="28">
        <v>29831.03</v>
      </c>
      <c r="F1451" s="28">
        <v>29831.03</v>
      </c>
      <c r="G1451" s="28">
        <f>F1463</f>
        <v>29831.03</v>
      </c>
      <c r="H1451" s="27"/>
    </row>
    <row r="1452" spans="1:8" ht="24" x14ac:dyDescent="0.25">
      <c r="A1452" s="23" t="s">
        <v>1170</v>
      </c>
      <c r="B1452" s="23" t="s">
        <v>2</v>
      </c>
      <c r="C1452" s="29"/>
      <c r="D1452" s="29"/>
      <c r="E1452" s="29"/>
      <c r="F1452" s="29"/>
      <c r="G1452" s="29"/>
      <c r="H1452" s="29"/>
    </row>
    <row r="1453" spans="1:8" x14ac:dyDescent="0.25">
      <c r="A1453" s="23" t="s">
        <v>2026</v>
      </c>
      <c r="B1453" s="23" t="s">
        <v>2</v>
      </c>
      <c r="C1453" s="29"/>
      <c r="D1453" s="29"/>
      <c r="E1453" s="29"/>
      <c r="F1453" s="29"/>
      <c r="G1453" s="29"/>
      <c r="H1453" s="29"/>
    </row>
    <row r="1454" spans="1:8" x14ac:dyDescent="0.25">
      <c r="A1454" s="23" t="s">
        <v>2175</v>
      </c>
      <c r="B1454" s="23" t="s">
        <v>2</v>
      </c>
      <c r="C1454" s="29"/>
      <c r="D1454" s="29"/>
      <c r="E1454" s="29"/>
      <c r="F1454" s="29"/>
      <c r="G1454" s="29"/>
      <c r="H1454" s="29"/>
    </row>
    <row r="1455" spans="1:8" x14ac:dyDescent="0.25">
      <c r="A1455" s="23" t="s">
        <v>2176</v>
      </c>
      <c r="B1455" s="23" t="s">
        <v>2</v>
      </c>
      <c r="C1455" s="29"/>
      <c r="D1455" s="29"/>
      <c r="E1455" s="29"/>
      <c r="F1455" s="29"/>
      <c r="G1455" s="29"/>
      <c r="H1455" s="29"/>
    </row>
    <row r="1456" spans="1:8" x14ac:dyDescent="0.25">
      <c r="A1456" s="30" t="s">
        <v>2788</v>
      </c>
      <c r="B1456" s="30" t="s">
        <v>2409</v>
      </c>
      <c r="C1456" s="31">
        <v>31.43</v>
      </c>
      <c r="D1456" s="31">
        <v>21.94</v>
      </c>
      <c r="E1456" s="31">
        <v>64.63</v>
      </c>
      <c r="F1456" s="31">
        <v>0</v>
      </c>
      <c r="G1456" s="31">
        <v>0</v>
      </c>
      <c r="H1456" s="29"/>
    </row>
    <row r="1457" spans="1:8" ht="24" x14ac:dyDescent="0.25">
      <c r="A1457" s="23" t="s">
        <v>2179</v>
      </c>
      <c r="B1457" s="23" t="s">
        <v>2</v>
      </c>
      <c r="C1457" s="32">
        <v>31.43</v>
      </c>
      <c r="D1457" s="32">
        <v>21.94</v>
      </c>
      <c r="E1457" s="32">
        <f>E1456</f>
        <v>64.63</v>
      </c>
      <c r="F1457" s="32">
        <f>SUM(F1456)</f>
        <v>0</v>
      </c>
      <c r="G1457" s="32">
        <f>SUM(G1456)</f>
        <v>0</v>
      </c>
      <c r="H1457" s="29"/>
    </row>
    <row r="1458" spans="1:8" x14ac:dyDescent="0.25">
      <c r="A1458" s="23" t="s">
        <v>2</v>
      </c>
      <c r="B1458" s="23" t="s">
        <v>2</v>
      </c>
      <c r="C1458" s="23" t="s">
        <v>2</v>
      </c>
      <c r="D1458" s="23" t="s">
        <v>2</v>
      </c>
      <c r="E1458" s="23"/>
      <c r="F1458" s="23" t="s">
        <v>2</v>
      </c>
      <c r="G1458" s="23" t="s">
        <v>2</v>
      </c>
      <c r="H1458" s="29"/>
    </row>
    <row r="1459" spans="1:8" x14ac:dyDescent="0.25">
      <c r="A1459" s="23" t="s">
        <v>2047</v>
      </c>
      <c r="B1459" s="23" t="s">
        <v>2</v>
      </c>
      <c r="C1459" s="32">
        <v>31.43</v>
      </c>
      <c r="D1459" s="32">
        <v>21.94</v>
      </c>
      <c r="E1459" s="32">
        <f>E1457</f>
        <v>64.63</v>
      </c>
      <c r="F1459" s="32">
        <f>F1457</f>
        <v>0</v>
      </c>
      <c r="G1459" s="32">
        <f>G1457</f>
        <v>0</v>
      </c>
      <c r="H1459" s="29"/>
    </row>
    <row r="1460" spans="1:8" ht="15" customHeight="1" x14ac:dyDescent="0.25">
      <c r="A1460" s="1" t="s">
        <v>740</v>
      </c>
      <c r="B1460" s="1" t="s">
        <v>2</v>
      </c>
      <c r="C1460" s="40"/>
    </row>
    <row r="1461" spans="1:8" ht="15" customHeight="1" x14ac:dyDescent="0.25">
      <c r="A1461" s="2" t="s">
        <v>1171</v>
      </c>
      <c r="B1461" s="2" t="s">
        <v>1172</v>
      </c>
      <c r="C1461" s="3">
        <v>0</v>
      </c>
      <c r="D1461" s="3">
        <v>0</v>
      </c>
      <c r="E1461" s="3">
        <v>0</v>
      </c>
      <c r="F1461" s="3">
        <v>0</v>
      </c>
      <c r="G1461" s="3">
        <v>0</v>
      </c>
    </row>
    <row r="1462" spans="1:8" ht="15" customHeight="1" x14ac:dyDescent="0.25">
      <c r="A1462" s="1" t="s">
        <v>1173</v>
      </c>
      <c r="B1462" s="1" t="s">
        <v>2</v>
      </c>
      <c r="C1462" s="4">
        <v>0</v>
      </c>
      <c r="D1462" s="4">
        <v>0</v>
      </c>
      <c r="E1462" s="4">
        <f>E1461</f>
        <v>0</v>
      </c>
      <c r="F1462" s="6">
        <f>SUM(F1461)</f>
        <v>0</v>
      </c>
      <c r="G1462" s="6">
        <f>SUM(G1461)</f>
        <v>0</v>
      </c>
    </row>
    <row r="1463" spans="1:8" ht="15" customHeight="1" x14ac:dyDescent="0.25">
      <c r="A1463" s="25" t="s">
        <v>2789</v>
      </c>
      <c r="B1463" s="25"/>
      <c r="C1463" s="33">
        <f>C1451+C1459-C1462</f>
        <v>29831.03</v>
      </c>
      <c r="D1463" s="33">
        <f t="shared" ref="D1463:G1463" si="40">D1451+D1459-D1462</f>
        <v>29852.969999999998</v>
      </c>
      <c r="E1463" s="33">
        <f t="shared" si="40"/>
        <v>29895.66</v>
      </c>
      <c r="F1463" s="33">
        <f t="shared" si="40"/>
        <v>29831.03</v>
      </c>
      <c r="G1463" s="33">
        <f t="shared" si="40"/>
        <v>29831.03</v>
      </c>
      <c r="H1463" s="25"/>
    </row>
    <row r="1464" spans="1:8" x14ac:dyDescent="0.25">
      <c r="A1464" s="1" t="s">
        <v>2</v>
      </c>
      <c r="B1464" s="1" t="s">
        <v>2</v>
      </c>
      <c r="C1464" s="1" t="s">
        <v>2</v>
      </c>
      <c r="D1464" s="1" t="s">
        <v>2</v>
      </c>
      <c r="E1464" s="1"/>
      <c r="F1464" s="1" t="s">
        <v>2</v>
      </c>
      <c r="G1464" s="1" t="s">
        <v>2</v>
      </c>
    </row>
    <row r="1465" spans="1:8" ht="15" customHeight="1" x14ac:dyDescent="0.25">
      <c r="A1465" s="27" t="s">
        <v>2790</v>
      </c>
      <c r="B1465" s="27" t="s">
        <v>2</v>
      </c>
      <c r="C1465" s="28">
        <v>153.15</v>
      </c>
      <c r="D1465" s="28">
        <v>153.27000000000001</v>
      </c>
      <c r="E1465" s="28">
        <v>153.27000000000001</v>
      </c>
      <c r="F1465" s="28">
        <v>153.27000000000001</v>
      </c>
      <c r="G1465" s="28">
        <f>F1489</f>
        <v>153.27000000000001</v>
      </c>
      <c r="H1465" s="27"/>
    </row>
    <row r="1466" spans="1:8" x14ac:dyDescent="0.25">
      <c r="A1466" s="23" t="s">
        <v>1174</v>
      </c>
      <c r="B1466" s="23" t="s">
        <v>2</v>
      </c>
      <c r="C1466" s="29"/>
      <c r="D1466" s="29"/>
      <c r="E1466" s="29"/>
      <c r="F1466" s="29"/>
      <c r="G1466" s="29"/>
      <c r="H1466" s="29"/>
    </row>
    <row r="1467" spans="1:8" x14ac:dyDescent="0.25">
      <c r="A1467" s="23" t="s">
        <v>2026</v>
      </c>
      <c r="B1467" s="23" t="s">
        <v>2</v>
      </c>
      <c r="C1467" s="29"/>
      <c r="D1467" s="29"/>
      <c r="E1467" s="29"/>
      <c r="F1467" s="29"/>
      <c r="G1467" s="29"/>
      <c r="H1467" s="29"/>
    </row>
    <row r="1468" spans="1:8" x14ac:dyDescent="0.25">
      <c r="A1468" s="23" t="s">
        <v>2175</v>
      </c>
      <c r="B1468" s="23" t="s">
        <v>2</v>
      </c>
      <c r="C1468" s="29"/>
      <c r="D1468" s="29"/>
      <c r="E1468" s="29"/>
      <c r="F1468" s="29"/>
      <c r="G1468" s="29"/>
      <c r="H1468" s="29"/>
    </row>
    <row r="1469" spans="1:8" x14ac:dyDescent="0.25">
      <c r="A1469" s="23" t="s">
        <v>2176</v>
      </c>
      <c r="B1469" s="23" t="s">
        <v>2</v>
      </c>
      <c r="C1469" s="29"/>
      <c r="D1469" s="29"/>
      <c r="E1469" s="29"/>
      <c r="F1469" s="29"/>
      <c r="G1469" s="29"/>
      <c r="H1469" s="29"/>
    </row>
    <row r="1470" spans="1:8" x14ac:dyDescent="0.25">
      <c r="A1470" s="30" t="s">
        <v>2791</v>
      </c>
      <c r="B1470" s="30" t="s">
        <v>2409</v>
      </c>
      <c r="C1470" s="31">
        <v>0.12</v>
      </c>
      <c r="D1470" s="31">
        <v>0.08</v>
      </c>
      <c r="E1470" s="31">
        <v>0.21</v>
      </c>
      <c r="F1470" s="31">
        <v>0</v>
      </c>
      <c r="G1470" s="31">
        <v>0</v>
      </c>
      <c r="H1470" s="29"/>
    </row>
    <row r="1471" spans="1:8" ht="24" x14ac:dyDescent="0.25">
      <c r="A1471" s="23" t="s">
        <v>2179</v>
      </c>
      <c r="B1471" s="23" t="s">
        <v>2</v>
      </c>
      <c r="C1471" s="32">
        <v>0.12</v>
      </c>
      <c r="D1471" s="32">
        <v>0.08</v>
      </c>
      <c r="E1471" s="32">
        <f>E1470</f>
        <v>0.21</v>
      </c>
      <c r="F1471" s="32">
        <f>SUM(F1470)</f>
        <v>0</v>
      </c>
      <c r="G1471" s="32">
        <f>SUM(G1470)</f>
        <v>0</v>
      </c>
      <c r="H1471" s="29"/>
    </row>
    <row r="1472" spans="1:8" x14ac:dyDescent="0.25">
      <c r="A1472" s="23" t="s">
        <v>2</v>
      </c>
      <c r="B1472" s="23" t="s">
        <v>2</v>
      </c>
      <c r="C1472" s="23" t="s">
        <v>2</v>
      </c>
      <c r="D1472" s="23" t="s">
        <v>2</v>
      </c>
      <c r="E1472" s="23"/>
      <c r="F1472" s="23" t="s">
        <v>2</v>
      </c>
      <c r="G1472" s="23" t="s">
        <v>2</v>
      </c>
      <c r="H1472" s="29"/>
    </row>
    <row r="1473" spans="1:8" x14ac:dyDescent="0.25">
      <c r="A1473" s="23" t="s">
        <v>2724</v>
      </c>
      <c r="B1473" s="23" t="s">
        <v>2</v>
      </c>
      <c r="C1473" s="29"/>
      <c r="D1473" s="29"/>
      <c r="E1473" s="29"/>
      <c r="F1473" s="29"/>
      <c r="G1473" s="29"/>
      <c r="H1473" s="29"/>
    </row>
    <row r="1474" spans="1:8" x14ac:dyDescent="0.25">
      <c r="A1474" s="30" t="s">
        <v>2792</v>
      </c>
      <c r="B1474" s="30" t="s">
        <v>2793</v>
      </c>
      <c r="C1474" s="31">
        <v>77066.22</v>
      </c>
      <c r="D1474" s="31">
        <v>0</v>
      </c>
      <c r="E1474" s="31">
        <v>0</v>
      </c>
      <c r="F1474" s="31">
        <v>0</v>
      </c>
      <c r="G1474" s="31">
        <v>0</v>
      </c>
      <c r="H1474" s="29"/>
    </row>
    <row r="1475" spans="1:8" x14ac:dyDescent="0.25">
      <c r="A1475" s="23" t="s">
        <v>2725</v>
      </c>
      <c r="B1475" s="23" t="s">
        <v>2</v>
      </c>
      <c r="C1475" s="32">
        <v>77066.22</v>
      </c>
      <c r="D1475" s="32">
        <v>0</v>
      </c>
      <c r="E1475" s="32">
        <f>E1474</f>
        <v>0</v>
      </c>
      <c r="F1475" s="32">
        <f>SUM(F1474)</f>
        <v>0</v>
      </c>
      <c r="G1475" s="32">
        <f>SUM(G1474)</f>
        <v>0</v>
      </c>
      <c r="H1475" s="29"/>
    </row>
    <row r="1476" spans="1:8" x14ac:dyDescent="0.25">
      <c r="A1476" s="23" t="s">
        <v>2</v>
      </c>
      <c r="B1476" s="23" t="s">
        <v>2</v>
      </c>
      <c r="C1476" s="23" t="s">
        <v>2</v>
      </c>
      <c r="D1476" s="23" t="s">
        <v>2</v>
      </c>
      <c r="E1476" s="23"/>
      <c r="F1476" s="23" t="s">
        <v>2</v>
      </c>
      <c r="G1476" s="23" t="s">
        <v>2</v>
      </c>
      <c r="H1476" s="29"/>
    </row>
    <row r="1477" spans="1:8" x14ac:dyDescent="0.25">
      <c r="A1477" s="23" t="s">
        <v>2047</v>
      </c>
      <c r="B1477" s="23" t="s">
        <v>2</v>
      </c>
      <c r="C1477" s="32">
        <v>77066.34</v>
      </c>
      <c r="D1477" s="32">
        <v>0.08</v>
      </c>
      <c r="E1477" s="32">
        <f>E1471+E1475</f>
        <v>0.21</v>
      </c>
      <c r="F1477" s="32">
        <f>F1471+F1475</f>
        <v>0</v>
      </c>
      <c r="G1477" s="32">
        <f>G1471+G1475</f>
        <v>0</v>
      </c>
      <c r="H1477" s="29"/>
    </row>
    <row r="1478" spans="1:8" ht="15" customHeight="1" x14ac:dyDescent="0.25">
      <c r="A1478" s="1" t="s">
        <v>740</v>
      </c>
      <c r="B1478" s="1" t="s">
        <v>2</v>
      </c>
      <c r="C1478" s="40"/>
      <c r="D1478" s="40"/>
      <c r="E1478" s="40"/>
      <c r="F1478" s="40"/>
    </row>
    <row r="1479" spans="1:8" ht="15" customHeight="1" x14ac:dyDescent="0.25">
      <c r="A1479" s="1" t="s">
        <v>556</v>
      </c>
      <c r="B1479" s="1" t="s">
        <v>2</v>
      </c>
    </row>
    <row r="1480" spans="1:8" ht="29.25" customHeight="1" x14ac:dyDescent="0.25">
      <c r="A1480" s="1" t="s">
        <v>1161</v>
      </c>
      <c r="B1480" s="1" t="s">
        <v>2</v>
      </c>
    </row>
    <row r="1481" spans="1:8" ht="15" customHeight="1" x14ac:dyDescent="0.25">
      <c r="A1481" s="2" t="s">
        <v>1175</v>
      </c>
      <c r="B1481" s="2" t="s">
        <v>1163</v>
      </c>
      <c r="C1481" s="3">
        <v>74169.600000000006</v>
      </c>
      <c r="D1481" s="3">
        <v>0</v>
      </c>
      <c r="E1481" s="3">
        <v>0</v>
      </c>
      <c r="F1481" s="3">
        <v>0</v>
      </c>
      <c r="G1481" s="5">
        <v>0</v>
      </c>
    </row>
    <row r="1482" spans="1:8" ht="27.75" customHeight="1" x14ac:dyDescent="0.25">
      <c r="A1482" s="1" t="s">
        <v>1164</v>
      </c>
      <c r="B1482" s="1" t="s">
        <v>2</v>
      </c>
      <c r="C1482" s="4">
        <v>74169.600000000006</v>
      </c>
      <c r="D1482" s="4">
        <v>0</v>
      </c>
      <c r="E1482" s="4">
        <f>E1481</f>
        <v>0</v>
      </c>
      <c r="F1482" s="6">
        <f>SUM(F1481)</f>
        <v>0</v>
      </c>
      <c r="G1482" s="6">
        <f>SUM(G1481)</f>
        <v>0</v>
      </c>
    </row>
    <row r="1483" spans="1:8" x14ac:dyDescent="0.25">
      <c r="A1483" s="1" t="s">
        <v>2</v>
      </c>
      <c r="B1483" s="1" t="s">
        <v>2</v>
      </c>
      <c r="C1483" s="1" t="s">
        <v>2</v>
      </c>
      <c r="D1483" s="1" t="s">
        <v>2</v>
      </c>
      <c r="E1483" s="1"/>
      <c r="F1483" s="1" t="s">
        <v>2</v>
      </c>
      <c r="G1483" s="1" t="s">
        <v>2</v>
      </c>
    </row>
    <row r="1484" spans="1:8" ht="15" customHeight="1" x14ac:dyDescent="0.25">
      <c r="A1484" s="1" t="s">
        <v>1153</v>
      </c>
      <c r="B1484" s="1" t="s">
        <v>2</v>
      </c>
    </row>
    <row r="1485" spans="1:8" ht="15" customHeight="1" x14ac:dyDescent="0.25">
      <c r="A1485" s="2" t="s">
        <v>1176</v>
      </c>
      <c r="B1485" s="2" t="s">
        <v>1166</v>
      </c>
      <c r="C1485" s="3">
        <v>2896.62</v>
      </c>
      <c r="D1485" s="3">
        <v>0</v>
      </c>
      <c r="E1485" s="3">
        <v>0</v>
      </c>
      <c r="F1485" s="3">
        <v>0</v>
      </c>
      <c r="G1485" s="5">
        <v>0</v>
      </c>
    </row>
    <row r="1486" spans="1:8" ht="15" customHeight="1" x14ac:dyDescent="0.25">
      <c r="A1486" s="1" t="s">
        <v>1158</v>
      </c>
      <c r="B1486" s="1" t="s">
        <v>2</v>
      </c>
      <c r="C1486" s="4">
        <v>2896.62</v>
      </c>
      <c r="D1486" s="4">
        <v>0</v>
      </c>
      <c r="E1486" s="4">
        <f>E1485</f>
        <v>0</v>
      </c>
      <c r="F1486" s="6">
        <f>SUM(F1485)</f>
        <v>0</v>
      </c>
      <c r="G1486" s="6">
        <f>SUM(G1485)</f>
        <v>0</v>
      </c>
    </row>
    <row r="1487" spans="1:8" x14ac:dyDescent="0.25">
      <c r="A1487" s="1" t="s">
        <v>2</v>
      </c>
      <c r="B1487" s="1" t="s">
        <v>2</v>
      </c>
      <c r="C1487" s="1" t="s">
        <v>2</v>
      </c>
      <c r="D1487" s="1" t="s">
        <v>2</v>
      </c>
      <c r="E1487" s="1"/>
      <c r="F1487" s="1" t="s">
        <v>2</v>
      </c>
      <c r="G1487" s="1" t="s">
        <v>2</v>
      </c>
    </row>
    <row r="1488" spans="1:8" ht="15" customHeight="1" x14ac:dyDescent="0.25">
      <c r="A1488" s="1" t="s">
        <v>1177</v>
      </c>
      <c r="B1488" s="1" t="s">
        <v>2</v>
      </c>
      <c r="C1488" s="4">
        <v>77066.22</v>
      </c>
      <c r="D1488" s="4">
        <v>0</v>
      </c>
      <c r="E1488" s="4">
        <f>E1482+E1486</f>
        <v>0</v>
      </c>
      <c r="F1488" s="6">
        <f>F1486+F1482</f>
        <v>0</v>
      </c>
      <c r="G1488" s="6">
        <f>G1486+G1482</f>
        <v>0</v>
      </c>
    </row>
    <row r="1489" spans="1:8" ht="15" customHeight="1" x14ac:dyDescent="0.25">
      <c r="A1489" s="25" t="s">
        <v>2794</v>
      </c>
      <c r="B1489" s="25" t="s">
        <v>2</v>
      </c>
      <c r="C1489" s="33">
        <f>C1465+C1477-C1488</f>
        <v>153.26999999998952</v>
      </c>
      <c r="D1489" s="33">
        <f t="shared" ref="D1489:G1489" si="41">D1465+D1477-D1488</f>
        <v>153.35000000000002</v>
      </c>
      <c r="E1489" s="33">
        <f t="shared" si="41"/>
        <v>153.48000000000002</v>
      </c>
      <c r="F1489" s="33">
        <f t="shared" si="41"/>
        <v>153.27000000000001</v>
      </c>
      <c r="G1489" s="33">
        <f t="shared" si="41"/>
        <v>153.27000000000001</v>
      </c>
      <c r="H1489" s="25"/>
    </row>
    <row r="1490" spans="1:8" x14ac:dyDescent="0.25">
      <c r="A1490" s="1" t="s">
        <v>2</v>
      </c>
      <c r="B1490" s="1" t="s">
        <v>2</v>
      </c>
      <c r="C1490" s="36"/>
      <c r="D1490" s="36"/>
      <c r="E1490" s="36"/>
      <c r="F1490" s="36"/>
      <c r="G1490" s="1" t="s">
        <v>2</v>
      </c>
    </row>
    <row r="1491" spans="1:8" ht="15" customHeight="1" x14ac:dyDescent="0.25">
      <c r="A1491" s="27" t="s">
        <v>2795</v>
      </c>
      <c r="B1491" s="27"/>
      <c r="C1491" s="28">
        <v>-230675.54</v>
      </c>
      <c r="D1491" s="28">
        <v>14573.03</v>
      </c>
      <c r="E1491" s="28">
        <v>14573.03</v>
      </c>
      <c r="F1491" s="28">
        <v>14573.03</v>
      </c>
      <c r="G1491" s="28">
        <f>F1534</f>
        <v>13874.030000000028</v>
      </c>
      <c r="H1491" s="27"/>
    </row>
    <row r="1492" spans="1:8" ht="28.5" customHeight="1" x14ac:dyDescent="0.25">
      <c r="A1492" s="23" t="s">
        <v>2815</v>
      </c>
      <c r="B1492" s="23" t="s">
        <v>2</v>
      </c>
      <c r="C1492" s="29"/>
      <c r="D1492" s="29"/>
      <c r="E1492" s="29"/>
      <c r="F1492" s="29"/>
      <c r="G1492" s="29"/>
      <c r="H1492" s="29"/>
    </row>
    <row r="1493" spans="1:8" x14ac:dyDescent="0.25">
      <c r="A1493" s="23" t="s">
        <v>2026</v>
      </c>
      <c r="B1493" s="23" t="s">
        <v>2</v>
      </c>
      <c r="C1493" s="29"/>
      <c r="D1493" s="29"/>
      <c r="E1493" s="29"/>
      <c r="F1493" s="29"/>
      <c r="G1493" s="29"/>
      <c r="H1493" s="29"/>
    </row>
    <row r="1494" spans="1:8" x14ac:dyDescent="0.25">
      <c r="A1494" s="23"/>
      <c r="B1494" s="23"/>
      <c r="C1494" s="29"/>
      <c r="D1494" s="29"/>
      <c r="E1494" s="29"/>
      <c r="F1494" s="29"/>
      <c r="G1494" s="29"/>
      <c r="H1494" s="29"/>
    </row>
    <row r="1495" spans="1:8" x14ac:dyDescent="0.25">
      <c r="A1495" s="23" t="s">
        <v>2102</v>
      </c>
      <c r="B1495" s="23" t="s">
        <v>2</v>
      </c>
      <c r="C1495" s="29"/>
      <c r="D1495" s="29"/>
      <c r="E1495" s="29"/>
      <c r="F1495" s="29"/>
      <c r="G1495" s="29"/>
      <c r="H1495" s="29"/>
    </row>
    <row r="1496" spans="1:8" x14ac:dyDescent="0.25">
      <c r="A1496" s="23" t="s">
        <v>2796</v>
      </c>
      <c r="B1496" s="23" t="s">
        <v>2</v>
      </c>
      <c r="C1496" s="29"/>
      <c r="D1496" s="29"/>
      <c r="E1496" s="29"/>
      <c r="F1496" s="29"/>
      <c r="G1496" s="29"/>
      <c r="H1496" s="29"/>
    </row>
    <row r="1497" spans="1:8" x14ac:dyDescent="0.25">
      <c r="A1497" s="30" t="s">
        <v>2797</v>
      </c>
      <c r="B1497" s="30" t="s">
        <v>2798</v>
      </c>
      <c r="C1497" s="31">
        <v>4045.29</v>
      </c>
      <c r="D1497" s="31">
        <v>0</v>
      </c>
      <c r="E1497" s="31">
        <v>0</v>
      </c>
      <c r="F1497" s="31">
        <v>0</v>
      </c>
      <c r="G1497" s="31">
        <v>0</v>
      </c>
      <c r="H1497" s="29"/>
    </row>
    <row r="1498" spans="1:8" x14ac:dyDescent="0.25">
      <c r="A1498" s="23" t="s">
        <v>2799</v>
      </c>
      <c r="B1498" s="23" t="s">
        <v>2</v>
      </c>
      <c r="C1498" s="32">
        <v>4045.29</v>
      </c>
      <c r="D1498" s="32">
        <v>0</v>
      </c>
      <c r="E1498" s="32">
        <f>E1497</f>
        <v>0</v>
      </c>
      <c r="F1498" s="32">
        <f>SUM(F1497)</f>
        <v>0</v>
      </c>
      <c r="G1498" s="32">
        <f>SUM(G1497)</f>
        <v>0</v>
      </c>
      <c r="H1498" s="29"/>
    </row>
    <row r="1499" spans="1:8" x14ac:dyDescent="0.25">
      <c r="A1499" s="23" t="s">
        <v>2</v>
      </c>
      <c r="B1499" s="23" t="s">
        <v>2</v>
      </c>
      <c r="C1499" s="23" t="s">
        <v>2</v>
      </c>
      <c r="D1499" s="23" t="s">
        <v>2</v>
      </c>
      <c r="E1499" s="23"/>
      <c r="F1499" s="23" t="s">
        <v>2</v>
      </c>
      <c r="G1499" s="23" t="s">
        <v>2</v>
      </c>
      <c r="H1499" s="29"/>
    </row>
    <row r="1500" spans="1:8" x14ac:dyDescent="0.25">
      <c r="A1500" s="23" t="s">
        <v>2175</v>
      </c>
      <c r="B1500" s="23" t="s">
        <v>2</v>
      </c>
      <c r="C1500" s="29"/>
      <c r="D1500" s="29"/>
      <c r="E1500" s="29"/>
      <c r="F1500" s="29"/>
      <c r="G1500" s="29"/>
      <c r="H1500" s="29"/>
    </row>
    <row r="1501" spans="1:8" x14ac:dyDescent="0.25">
      <c r="A1501" s="23" t="s">
        <v>2176</v>
      </c>
      <c r="B1501" s="23" t="s">
        <v>2</v>
      </c>
      <c r="C1501" s="29"/>
      <c r="D1501" s="29"/>
      <c r="E1501" s="29"/>
      <c r="F1501" s="29"/>
      <c r="G1501" s="29"/>
      <c r="H1501" s="29"/>
    </row>
    <row r="1502" spans="1:8" x14ac:dyDescent="0.25">
      <c r="A1502" s="30" t="s">
        <v>2800</v>
      </c>
      <c r="B1502" s="30" t="s">
        <v>2409</v>
      </c>
      <c r="C1502" s="31">
        <v>0.85</v>
      </c>
      <c r="D1502" s="31">
        <v>0.6</v>
      </c>
      <c r="E1502" s="31">
        <v>1.77</v>
      </c>
      <c r="F1502" s="31">
        <v>0</v>
      </c>
      <c r="G1502" s="31">
        <v>0</v>
      </c>
      <c r="H1502" s="29"/>
    </row>
    <row r="1503" spans="1:8" ht="24" x14ac:dyDescent="0.25">
      <c r="A1503" s="23" t="s">
        <v>2179</v>
      </c>
      <c r="B1503" s="23" t="s">
        <v>2</v>
      </c>
      <c r="C1503" s="32">
        <v>0.85</v>
      </c>
      <c r="D1503" s="32">
        <v>0.6</v>
      </c>
      <c r="E1503" s="32">
        <f>E1502</f>
        <v>1.77</v>
      </c>
      <c r="F1503" s="32">
        <f>SUM(F1502)</f>
        <v>0</v>
      </c>
      <c r="G1503" s="32">
        <f>SUM(G1502)</f>
        <v>0</v>
      </c>
      <c r="H1503" s="29"/>
    </row>
    <row r="1504" spans="1:8" x14ac:dyDescent="0.25">
      <c r="A1504" s="23" t="s">
        <v>2</v>
      </c>
      <c r="B1504" s="23" t="s">
        <v>2</v>
      </c>
      <c r="C1504" s="23" t="s">
        <v>2</v>
      </c>
      <c r="D1504" s="23" t="s">
        <v>2</v>
      </c>
      <c r="E1504" s="23"/>
      <c r="F1504" s="23" t="s">
        <v>2</v>
      </c>
      <c r="G1504" s="23" t="s">
        <v>2</v>
      </c>
      <c r="H1504" s="29"/>
    </row>
    <row r="1505" spans="1:8" x14ac:dyDescent="0.25">
      <c r="A1505" s="30" t="s">
        <v>2801</v>
      </c>
      <c r="B1505" s="30" t="s">
        <v>704</v>
      </c>
      <c r="C1505" s="31">
        <v>263317.43</v>
      </c>
      <c r="D1505" s="31">
        <v>0</v>
      </c>
      <c r="E1505" s="31">
        <v>0</v>
      </c>
      <c r="F1505" s="31">
        <v>0</v>
      </c>
      <c r="G1505" s="31">
        <v>0</v>
      </c>
      <c r="H1505" s="29"/>
    </row>
    <row r="1506" spans="1:8" x14ac:dyDescent="0.25">
      <c r="A1506" s="30"/>
      <c r="B1506" s="30"/>
      <c r="C1506" s="31"/>
      <c r="D1506" s="31"/>
      <c r="E1506" s="31"/>
      <c r="F1506" s="31"/>
      <c r="G1506" s="31"/>
      <c r="H1506" s="29"/>
    </row>
    <row r="1507" spans="1:8" x14ac:dyDescent="0.25">
      <c r="A1507" s="23" t="s">
        <v>2553</v>
      </c>
      <c r="B1507" s="23" t="s">
        <v>2</v>
      </c>
      <c r="C1507" s="29"/>
      <c r="D1507" s="29"/>
      <c r="E1507" s="29"/>
      <c r="F1507" s="29"/>
      <c r="G1507" s="29"/>
      <c r="H1507" s="29"/>
    </row>
    <row r="1508" spans="1:8" x14ac:dyDescent="0.25">
      <c r="A1508" s="30" t="s">
        <v>2802</v>
      </c>
      <c r="B1508" s="30" t="s">
        <v>2803</v>
      </c>
      <c r="C1508" s="31">
        <v>0</v>
      </c>
      <c r="D1508" s="31">
        <v>0</v>
      </c>
      <c r="E1508" s="31">
        <v>0</v>
      </c>
      <c r="F1508" s="31">
        <v>0</v>
      </c>
      <c r="G1508" s="31">
        <v>0</v>
      </c>
      <c r="H1508" s="29"/>
    </row>
    <row r="1509" spans="1:8" x14ac:dyDescent="0.25">
      <c r="A1509" s="30" t="s">
        <v>2804</v>
      </c>
      <c r="B1509" s="30" t="s">
        <v>2805</v>
      </c>
      <c r="C1509" s="31">
        <v>0</v>
      </c>
      <c r="D1509" s="31">
        <v>0</v>
      </c>
      <c r="E1509" s="31">
        <v>0</v>
      </c>
      <c r="F1509" s="31">
        <v>0</v>
      </c>
      <c r="G1509" s="31">
        <v>0</v>
      </c>
      <c r="H1509" s="29"/>
    </row>
    <row r="1510" spans="1:8" x14ac:dyDescent="0.25">
      <c r="A1510" s="30"/>
      <c r="B1510" s="30"/>
      <c r="C1510" s="31"/>
      <c r="D1510" s="31"/>
      <c r="E1510" s="31"/>
      <c r="F1510" s="31"/>
      <c r="G1510" s="31"/>
      <c r="H1510" s="29"/>
    </row>
    <row r="1511" spans="1:8" x14ac:dyDescent="0.25">
      <c r="A1511" s="23" t="s">
        <v>2724</v>
      </c>
      <c r="B1511" s="23" t="s">
        <v>2</v>
      </c>
      <c r="C1511" s="29"/>
      <c r="D1511" s="29"/>
      <c r="E1511" s="29"/>
      <c r="F1511" s="29"/>
      <c r="G1511" s="29"/>
      <c r="H1511" s="29"/>
    </row>
    <row r="1512" spans="1:8" x14ac:dyDescent="0.25">
      <c r="A1512" s="30" t="s">
        <v>2806</v>
      </c>
      <c r="B1512" s="30" t="s">
        <v>2807</v>
      </c>
      <c r="C1512" s="31">
        <v>190492.79999999999</v>
      </c>
      <c r="D1512" s="31">
        <v>0</v>
      </c>
      <c r="E1512" s="31">
        <v>12545.66</v>
      </c>
      <c r="F1512" s="31">
        <v>201732</v>
      </c>
      <c r="G1512" s="58">
        <f>F1512*1.06</f>
        <v>213835.92</v>
      </c>
      <c r="H1512" s="29"/>
    </row>
    <row r="1513" spans="1:8" x14ac:dyDescent="0.25">
      <c r="A1513" s="30" t="s">
        <v>2808</v>
      </c>
      <c r="B1513" s="30" t="s">
        <v>2809</v>
      </c>
      <c r="C1513" s="31">
        <v>59529</v>
      </c>
      <c r="D1513" s="31">
        <v>0</v>
      </c>
      <c r="E1513" s="31">
        <v>3920.52</v>
      </c>
      <c r="F1513" s="31">
        <v>63041</v>
      </c>
      <c r="G1513" s="58">
        <f t="shared" ref="G1513:G1515" si="42">F1513*1.06</f>
        <v>66823.460000000006</v>
      </c>
      <c r="H1513" s="29"/>
    </row>
    <row r="1514" spans="1:8" x14ac:dyDescent="0.25">
      <c r="A1514" s="30" t="s">
        <v>2810</v>
      </c>
      <c r="B1514" s="30" t="s">
        <v>2811</v>
      </c>
      <c r="C1514" s="31">
        <v>23811.599999999999</v>
      </c>
      <c r="D1514" s="31">
        <v>0</v>
      </c>
      <c r="E1514" s="31">
        <v>1568.21</v>
      </c>
      <c r="F1514" s="31">
        <v>25217</v>
      </c>
      <c r="G1514" s="58">
        <f t="shared" si="42"/>
        <v>26730.02</v>
      </c>
      <c r="H1514" s="29"/>
    </row>
    <row r="1515" spans="1:8" x14ac:dyDescent="0.25">
      <c r="A1515" s="30" t="s">
        <v>2812</v>
      </c>
      <c r="B1515" s="30" t="s">
        <v>2813</v>
      </c>
      <c r="C1515" s="31">
        <v>23811.599999999999</v>
      </c>
      <c r="D1515" s="31">
        <v>0</v>
      </c>
      <c r="E1515" s="31">
        <v>1568.21</v>
      </c>
      <c r="F1515" s="31">
        <v>25217</v>
      </c>
      <c r="G1515" s="58">
        <f t="shared" si="42"/>
        <v>26730.02</v>
      </c>
      <c r="H1515" s="29"/>
    </row>
    <row r="1516" spans="1:8" x14ac:dyDescent="0.25">
      <c r="A1516" s="23" t="s">
        <v>2725</v>
      </c>
      <c r="B1516" s="23" t="s">
        <v>2</v>
      </c>
      <c r="C1516" s="32">
        <v>297645</v>
      </c>
      <c r="D1516" s="32">
        <v>0</v>
      </c>
      <c r="E1516" s="32">
        <f>SUM(E1512:E1515)</f>
        <v>19602.599999999999</v>
      </c>
      <c r="F1516" s="32">
        <f>SUM(F1512:F1515)</f>
        <v>315207</v>
      </c>
      <c r="G1516" s="32">
        <f>SUM(G1512:G1515)</f>
        <v>334119.42000000004</v>
      </c>
      <c r="H1516" s="29"/>
    </row>
    <row r="1517" spans="1:8" x14ac:dyDescent="0.25">
      <c r="A1517" s="23" t="s">
        <v>2</v>
      </c>
      <c r="B1517" s="23" t="s">
        <v>2</v>
      </c>
      <c r="C1517" s="23" t="s">
        <v>2</v>
      </c>
      <c r="D1517" s="23" t="s">
        <v>2</v>
      </c>
      <c r="E1517" s="23"/>
      <c r="F1517" s="23" t="s">
        <v>2</v>
      </c>
      <c r="G1517" s="23" t="s">
        <v>2</v>
      </c>
      <c r="H1517" s="29"/>
    </row>
    <row r="1518" spans="1:8" x14ac:dyDescent="0.25">
      <c r="A1518" s="23" t="s">
        <v>2047</v>
      </c>
      <c r="B1518" s="23" t="s">
        <v>2</v>
      </c>
      <c r="C1518" s="32">
        <v>565008.56999999995</v>
      </c>
      <c r="D1518" s="32">
        <v>0.6</v>
      </c>
      <c r="E1518" s="32">
        <f>E1498+E1503+E1516</f>
        <v>19604.37</v>
      </c>
      <c r="F1518" s="32">
        <f>F1516+SUM(F1508:F1509)+F1505+F1503+F1498</f>
        <v>315207</v>
      </c>
      <c r="G1518" s="32">
        <f>G1516+SUM(G1508:G1509)+G1505+G1503+G1498</f>
        <v>334119.42000000004</v>
      </c>
      <c r="H1518" s="29"/>
    </row>
    <row r="1519" spans="1:8" ht="15" customHeight="1" x14ac:dyDescent="0.25">
      <c r="A1519" s="1" t="s">
        <v>740</v>
      </c>
      <c r="B1519" s="1" t="s">
        <v>2</v>
      </c>
    </row>
    <row r="1520" spans="1:8" ht="15" customHeight="1" x14ac:dyDescent="0.25">
      <c r="A1520" s="1" t="s">
        <v>556</v>
      </c>
      <c r="B1520" s="1" t="s">
        <v>2</v>
      </c>
    </row>
    <row r="1521" spans="1:8" ht="26.25" customHeight="1" x14ac:dyDescent="0.25">
      <c r="A1521" s="1" t="s">
        <v>1161</v>
      </c>
      <c r="B1521" s="1" t="s">
        <v>2</v>
      </c>
    </row>
    <row r="1522" spans="1:8" ht="15" customHeight="1" x14ac:dyDescent="0.25">
      <c r="A1522" s="2" t="s">
        <v>1178</v>
      </c>
      <c r="B1522" s="2" t="s">
        <v>1163</v>
      </c>
      <c r="C1522" s="3">
        <v>276000</v>
      </c>
      <c r="D1522" s="3">
        <v>0</v>
      </c>
      <c r="E1522" s="3">
        <v>0</v>
      </c>
      <c r="F1522" s="3">
        <v>276000</v>
      </c>
      <c r="G1522" s="59">
        <v>281000</v>
      </c>
    </row>
    <row r="1523" spans="1:8" ht="26.25" customHeight="1" x14ac:dyDescent="0.25">
      <c r="A1523" s="1" t="s">
        <v>1164</v>
      </c>
      <c r="B1523" s="1" t="s">
        <v>2</v>
      </c>
      <c r="C1523" s="4">
        <v>276000</v>
      </c>
      <c r="D1523" s="4">
        <v>0</v>
      </c>
      <c r="E1523" s="4">
        <f>E1522</f>
        <v>0</v>
      </c>
      <c r="F1523" s="6">
        <f>SUM(F1522)</f>
        <v>276000</v>
      </c>
      <c r="G1523" s="61">
        <f>SUM(G1522)</f>
        <v>281000</v>
      </c>
    </row>
    <row r="1524" spans="1:8" x14ac:dyDescent="0.25">
      <c r="A1524" s="1" t="s">
        <v>2</v>
      </c>
      <c r="B1524" s="1" t="s">
        <v>2</v>
      </c>
      <c r="C1524" s="1" t="s">
        <v>2</v>
      </c>
      <c r="D1524" s="1" t="s">
        <v>2</v>
      </c>
      <c r="E1524" s="1"/>
      <c r="F1524" s="1" t="s">
        <v>2</v>
      </c>
      <c r="G1524" s="62" t="s">
        <v>2</v>
      </c>
    </row>
    <row r="1525" spans="1:8" ht="15" customHeight="1" x14ac:dyDescent="0.25">
      <c r="A1525" s="1" t="s">
        <v>1153</v>
      </c>
      <c r="B1525" s="1" t="s">
        <v>2</v>
      </c>
      <c r="G1525" s="63"/>
    </row>
    <row r="1526" spans="1:8" ht="15" customHeight="1" x14ac:dyDescent="0.25">
      <c r="A1526" s="2" t="s">
        <v>1179</v>
      </c>
      <c r="B1526" s="2" t="s">
        <v>1166</v>
      </c>
      <c r="C1526" s="3">
        <v>43290</v>
      </c>
      <c r="D1526" s="3">
        <v>0</v>
      </c>
      <c r="E1526" s="3">
        <v>19602.599999999999</v>
      </c>
      <c r="F1526" s="3">
        <v>39206</v>
      </c>
      <c r="G1526" s="59">
        <v>35120.400000000001</v>
      </c>
    </row>
    <row r="1527" spans="1:8" ht="15" customHeight="1" x14ac:dyDescent="0.25">
      <c r="A1527" s="2" t="s">
        <v>1180</v>
      </c>
      <c r="B1527" s="2" t="s">
        <v>1181</v>
      </c>
      <c r="C1527" s="3">
        <v>470</v>
      </c>
      <c r="D1527" s="3">
        <v>0</v>
      </c>
      <c r="E1527" s="3">
        <v>0</v>
      </c>
      <c r="F1527" s="3">
        <v>700</v>
      </c>
      <c r="G1527" s="59">
        <v>700</v>
      </c>
    </row>
    <row r="1528" spans="1:8" ht="15" customHeight="1" x14ac:dyDescent="0.25">
      <c r="A1528" s="1" t="s">
        <v>1158</v>
      </c>
      <c r="B1528" s="1" t="s">
        <v>2</v>
      </c>
      <c r="C1528" s="4">
        <v>43760</v>
      </c>
      <c r="D1528" s="4">
        <v>0</v>
      </c>
      <c r="E1528" s="4">
        <f>SUM(E1526:E1527)</f>
        <v>19602.599999999999</v>
      </c>
      <c r="F1528" s="6">
        <f>SUM(F1526:F1527)</f>
        <v>39906</v>
      </c>
      <c r="G1528" s="61">
        <f>SUM(G1526:G1527)</f>
        <v>35820.400000000001</v>
      </c>
    </row>
    <row r="1529" spans="1:8" x14ac:dyDescent="0.25">
      <c r="A1529" s="1" t="s">
        <v>2</v>
      </c>
      <c r="B1529" s="1" t="s">
        <v>2</v>
      </c>
      <c r="C1529" s="1" t="s">
        <v>2</v>
      </c>
      <c r="D1529" s="1" t="s">
        <v>2</v>
      </c>
      <c r="E1529" s="1"/>
      <c r="F1529" s="1" t="s">
        <v>2</v>
      </c>
      <c r="G1529" s="62" t="s">
        <v>2</v>
      </c>
    </row>
    <row r="1530" spans="1:8" ht="15" customHeight="1" x14ac:dyDescent="0.25">
      <c r="A1530" s="2" t="s">
        <v>1182</v>
      </c>
      <c r="B1530" s="2" t="s">
        <v>1183</v>
      </c>
      <c r="C1530" s="3">
        <v>0</v>
      </c>
      <c r="D1530" s="3">
        <v>0</v>
      </c>
      <c r="E1530" s="3">
        <v>0</v>
      </c>
      <c r="F1530" s="3">
        <v>0</v>
      </c>
      <c r="G1530" s="59">
        <v>0</v>
      </c>
    </row>
    <row r="1531" spans="1:8" x14ac:dyDescent="0.25">
      <c r="A1531" s="2" t="s">
        <v>1184</v>
      </c>
      <c r="B1531" s="2" t="s">
        <v>1185</v>
      </c>
      <c r="C1531" s="3">
        <v>0</v>
      </c>
      <c r="D1531" s="3">
        <v>0</v>
      </c>
      <c r="E1531" s="3">
        <v>0</v>
      </c>
      <c r="F1531" s="3">
        <v>0</v>
      </c>
      <c r="G1531" s="59">
        <v>0</v>
      </c>
    </row>
    <row r="1532" spans="1:8" x14ac:dyDescent="0.25">
      <c r="A1532" s="2"/>
      <c r="B1532" s="2"/>
      <c r="C1532" s="3"/>
      <c r="D1532" s="3"/>
      <c r="E1532" s="3"/>
      <c r="F1532" s="3"/>
      <c r="G1532" s="59"/>
    </row>
    <row r="1533" spans="1:8" ht="29.25" customHeight="1" x14ac:dyDescent="0.25">
      <c r="A1533" s="1" t="s">
        <v>2814</v>
      </c>
      <c r="B1533" s="1" t="s">
        <v>2</v>
      </c>
      <c r="C1533" s="4">
        <v>319760</v>
      </c>
      <c r="D1533" s="4">
        <v>0</v>
      </c>
      <c r="E1533" s="4"/>
      <c r="F1533" s="6">
        <f>SUM(F1530:F1531)+F1528+F1523</f>
        <v>315906</v>
      </c>
      <c r="G1533" s="6">
        <f>SUM(G1530:G1531)+G1528+G1523</f>
        <v>316820.40000000002</v>
      </c>
    </row>
    <row r="1534" spans="1:8" ht="15" customHeight="1" x14ac:dyDescent="0.25">
      <c r="A1534" s="25" t="s">
        <v>2816</v>
      </c>
      <c r="B1534" s="25" t="s">
        <v>2</v>
      </c>
      <c r="C1534" s="33">
        <f>C1491+C1518-C1533</f>
        <v>14573.029999999912</v>
      </c>
      <c r="D1534" s="33">
        <f t="shared" ref="D1534:G1534" si="43">D1491+D1518-D1533</f>
        <v>14573.630000000001</v>
      </c>
      <c r="E1534" s="33">
        <f t="shared" si="43"/>
        <v>34177.4</v>
      </c>
      <c r="F1534" s="33">
        <f t="shared" si="43"/>
        <v>13874.030000000028</v>
      </c>
      <c r="G1534" s="33">
        <f t="shared" si="43"/>
        <v>31173.050000000047</v>
      </c>
      <c r="H1534" s="25"/>
    </row>
    <row r="1535" spans="1:8" x14ac:dyDescent="0.25">
      <c r="A1535" s="1" t="s">
        <v>2</v>
      </c>
      <c r="B1535" s="1" t="s">
        <v>2</v>
      </c>
      <c r="C1535" s="1" t="s">
        <v>2</v>
      </c>
      <c r="D1535" s="1" t="s">
        <v>2</v>
      </c>
      <c r="E1535" s="1"/>
      <c r="F1535" s="1" t="s">
        <v>2</v>
      </c>
      <c r="G1535" s="1" t="s">
        <v>2</v>
      </c>
    </row>
    <row r="1536" spans="1:8" ht="15" customHeight="1" x14ac:dyDescent="0.25">
      <c r="A1536" s="27" t="s">
        <v>2817</v>
      </c>
      <c r="B1536" s="27" t="s">
        <v>2</v>
      </c>
      <c r="C1536" s="28">
        <v>1996.44</v>
      </c>
      <c r="D1536" s="28">
        <v>1998.54</v>
      </c>
      <c r="E1536" s="28">
        <v>1998.54</v>
      </c>
      <c r="F1536" s="28">
        <v>1998.54</v>
      </c>
      <c r="G1536" s="28">
        <f>F1562</f>
        <v>1648.5400000000081</v>
      </c>
      <c r="H1536" s="27"/>
    </row>
    <row r="1537" spans="1:8" ht="24" x14ac:dyDescent="0.25">
      <c r="A1537" s="23" t="s">
        <v>1186</v>
      </c>
      <c r="B1537" s="23" t="s">
        <v>2</v>
      </c>
      <c r="C1537" s="29"/>
      <c r="D1537" s="29"/>
      <c r="E1537" s="29"/>
      <c r="F1537" s="29"/>
      <c r="G1537" s="29"/>
      <c r="H1537" s="29"/>
    </row>
    <row r="1538" spans="1:8" x14ac:dyDescent="0.25">
      <c r="A1538" s="23" t="s">
        <v>2026</v>
      </c>
      <c r="B1538" s="23" t="s">
        <v>2</v>
      </c>
      <c r="C1538" s="29"/>
      <c r="D1538" s="29"/>
      <c r="E1538" s="29"/>
      <c r="F1538" s="29"/>
      <c r="G1538" s="29"/>
      <c r="H1538" s="29"/>
    </row>
    <row r="1539" spans="1:8" x14ac:dyDescent="0.25">
      <c r="A1539" s="23" t="s">
        <v>2175</v>
      </c>
      <c r="B1539" s="23" t="s">
        <v>2</v>
      </c>
      <c r="C1539" s="29"/>
      <c r="D1539" s="29"/>
      <c r="E1539" s="29"/>
      <c r="F1539" s="29"/>
      <c r="G1539" s="29"/>
      <c r="H1539" s="29"/>
    </row>
    <row r="1540" spans="1:8" x14ac:dyDescent="0.25">
      <c r="A1540" s="23" t="s">
        <v>2176</v>
      </c>
      <c r="B1540" s="23" t="s">
        <v>2</v>
      </c>
      <c r="C1540" s="29"/>
      <c r="D1540" s="29"/>
      <c r="E1540" s="29"/>
      <c r="F1540" s="29"/>
      <c r="G1540" s="29"/>
      <c r="H1540" s="29"/>
    </row>
    <row r="1541" spans="1:8" x14ac:dyDescent="0.25">
      <c r="A1541" s="30" t="s">
        <v>2818</v>
      </c>
      <c r="B1541" s="30" t="s">
        <v>2409</v>
      </c>
      <c r="C1541" s="31">
        <v>2.1</v>
      </c>
      <c r="D1541" s="31">
        <v>1.47</v>
      </c>
      <c r="E1541" s="31">
        <v>4.33</v>
      </c>
      <c r="F1541" s="31">
        <v>0</v>
      </c>
      <c r="G1541" s="31">
        <v>0</v>
      </c>
      <c r="H1541" s="29"/>
    </row>
    <row r="1542" spans="1:8" ht="24" x14ac:dyDescent="0.25">
      <c r="A1542" s="23" t="s">
        <v>2179</v>
      </c>
      <c r="B1542" s="23" t="s">
        <v>2</v>
      </c>
      <c r="C1542" s="32">
        <v>2.1</v>
      </c>
      <c r="D1542" s="32">
        <v>1.47</v>
      </c>
      <c r="E1542" s="32">
        <f>E1541</f>
        <v>4.33</v>
      </c>
      <c r="F1542" s="32">
        <f>SUM(F1541)</f>
        <v>0</v>
      </c>
      <c r="G1542" s="32">
        <f>SUM(G1541)</f>
        <v>0</v>
      </c>
      <c r="H1542" s="29"/>
    </row>
    <row r="1543" spans="1:8" x14ac:dyDescent="0.25">
      <c r="A1543" s="23" t="s">
        <v>2</v>
      </c>
      <c r="B1543" s="23" t="s">
        <v>2</v>
      </c>
      <c r="C1543" s="23" t="s">
        <v>2</v>
      </c>
      <c r="D1543" s="23" t="s">
        <v>2</v>
      </c>
      <c r="E1543" s="23"/>
      <c r="F1543" s="23" t="s">
        <v>2</v>
      </c>
      <c r="G1543" s="23" t="s">
        <v>2</v>
      </c>
      <c r="H1543" s="29"/>
    </row>
    <row r="1544" spans="1:8" x14ac:dyDescent="0.25">
      <c r="A1544" s="23" t="s">
        <v>2724</v>
      </c>
      <c r="B1544" s="23" t="s">
        <v>2</v>
      </c>
      <c r="C1544" s="29"/>
      <c r="D1544" s="29"/>
      <c r="E1544" s="29"/>
      <c r="F1544" s="29"/>
      <c r="G1544" s="29"/>
      <c r="H1544" s="29"/>
    </row>
    <row r="1545" spans="1:8" x14ac:dyDescent="0.25">
      <c r="A1545" s="30" t="s">
        <v>2819</v>
      </c>
      <c r="B1545" s="30" t="s">
        <v>2820</v>
      </c>
      <c r="C1545" s="31">
        <v>79400</v>
      </c>
      <c r="D1545" s="31">
        <v>0</v>
      </c>
      <c r="E1545" s="31">
        <v>5900</v>
      </c>
      <c r="F1545" s="31">
        <v>81800</v>
      </c>
      <c r="G1545" s="58">
        <v>0</v>
      </c>
      <c r="H1545" s="29"/>
    </row>
    <row r="1546" spans="1:8" x14ac:dyDescent="0.25">
      <c r="A1546" s="30" t="s">
        <v>2821</v>
      </c>
      <c r="B1546" s="30" t="s">
        <v>2822</v>
      </c>
      <c r="C1546" s="31">
        <v>79400</v>
      </c>
      <c r="D1546" s="31">
        <v>0</v>
      </c>
      <c r="E1546" s="31">
        <v>5900</v>
      </c>
      <c r="F1546" s="31">
        <v>81800</v>
      </c>
      <c r="G1546" s="58">
        <v>0</v>
      </c>
      <c r="H1546" s="29"/>
    </row>
    <row r="1547" spans="1:8" x14ac:dyDescent="0.25">
      <c r="A1547" s="23" t="s">
        <v>2725</v>
      </c>
      <c r="B1547" s="23" t="s">
        <v>2</v>
      </c>
      <c r="C1547" s="32">
        <v>158800</v>
      </c>
      <c r="D1547" s="32">
        <v>0</v>
      </c>
      <c r="E1547" s="32">
        <f>E1545+E1546</f>
        <v>11800</v>
      </c>
      <c r="F1547" s="32">
        <f>SUM(F1545:F1546)</f>
        <v>163600</v>
      </c>
      <c r="G1547" s="32">
        <f>SUM(G1545:G1546)</f>
        <v>0</v>
      </c>
      <c r="H1547" s="29"/>
    </row>
    <row r="1548" spans="1:8" x14ac:dyDescent="0.25">
      <c r="A1548" s="23" t="s">
        <v>2</v>
      </c>
      <c r="B1548" s="23" t="s">
        <v>2</v>
      </c>
      <c r="C1548" s="23" t="s">
        <v>2</v>
      </c>
      <c r="D1548" s="23" t="s">
        <v>2</v>
      </c>
      <c r="E1548" s="23"/>
      <c r="F1548" s="23" t="s">
        <v>2</v>
      </c>
      <c r="G1548" s="23" t="s">
        <v>2</v>
      </c>
      <c r="H1548" s="29"/>
    </row>
    <row r="1549" spans="1:8" x14ac:dyDescent="0.25">
      <c r="A1549" s="23" t="s">
        <v>2047</v>
      </c>
      <c r="B1549" s="23" t="s">
        <v>2</v>
      </c>
      <c r="C1549" s="32">
        <v>158802.1</v>
      </c>
      <c r="D1549" s="32">
        <v>1.47</v>
      </c>
      <c r="E1549" s="32">
        <f>E1542+E1547</f>
        <v>11804.33</v>
      </c>
      <c r="F1549" s="32">
        <f>F1542+F1547</f>
        <v>163600</v>
      </c>
      <c r="G1549" s="32">
        <f>G1542+G1547</f>
        <v>0</v>
      </c>
      <c r="H1549" s="29"/>
    </row>
    <row r="1550" spans="1:8" ht="15" customHeight="1" x14ac:dyDescent="0.25">
      <c r="A1550" s="1" t="s">
        <v>740</v>
      </c>
      <c r="B1550" s="1" t="s">
        <v>2</v>
      </c>
      <c r="C1550" s="40"/>
      <c r="F1550" s="40"/>
    </row>
    <row r="1551" spans="1:8" ht="15" customHeight="1" x14ac:dyDescent="0.25">
      <c r="A1551" s="1" t="s">
        <v>556</v>
      </c>
      <c r="B1551" s="1" t="s">
        <v>2</v>
      </c>
    </row>
    <row r="1552" spans="1:8" ht="27.75" customHeight="1" x14ac:dyDescent="0.25">
      <c r="A1552" s="1" t="s">
        <v>1161</v>
      </c>
      <c r="B1552" s="1" t="s">
        <v>2</v>
      </c>
    </row>
    <row r="1553" spans="1:8" ht="15" customHeight="1" x14ac:dyDescent="0.25">
      <c r="A1553" s="2" t="s">
        <v>1187</v>
      </c>
      <c r="B1553" s="2" t="s">
        <v>1163</v>
      </c>
      <c r="C1553" s="3">
        <v>130000</v>
      </c>
      <c r="D1553" s="3">
        <v>0</v>
      </c>
      <c r="E1553" s="3">
        <v>0</v>
      </c>
      <c r="F1553" s="3">
        <v>140000</v>
      </c>
      <c r="G1553" s="59">
        <v>145000</v>
      </c>
    </row>
    <row r="1554" spans="1:8" ht="28.5" customHeight="1" x14ac:dyDescent="0.25">
      <c r="A1554" s="1" t="s">
        <v>1164</v>
      </c>
      <c r="B1554" s="1" t="s">
        <v>2</v>
      </c>
      <c r="C1554" s="4">
        <v>130000</v>
      </c>
      <c r="D1554" s="4">
        <v>0</v>
      </c>
      <c r="E1554" s="4">
        <f>E1553</f>
        <v>0</v>
      </c>
      <c r="F1554" s="6">
        <f>SUM(F1553)</f>
        <v>140000</v>
      </c>
      <c r="G1554" s="61">
        <f>SUM(G1553)</f>
        <v>145000</v>
      </c>
    </row>
    <row r="1555" spans="1:8" x14ac:dyDescent="0.25">
      <c r="A1555" s="1" t="s">
        <v>2</v>
      </c>
      <c r="B1555" s="1" t="s">
        <v>2</v>
      </c>
      <c r="C1555" s="1" t="s">
        <v>2</v>
      </c>
      <c r="D1555" s="1" t="s">
        <v>2</v>
      </c>
      <c r="E1555" s="1"/>
      <c r="F1555" s="1" t="s">
        <v>2</v>
      </c>
      <c r="G1555" s="62" t="s">
        <v>2</v>
      </c>
    </row>
    <row r="1556" spans="1:8" ht="15" customHeight="1" x14ac:dyDescent="0.25">
      <c r="A1556" s="1" t="s">
        <v>1153</v>
      </c>
      <c r="B1556" s="1" t="s">
        <v>2</v>
      </c>
      <c r="E1556" s="3"/>
      <c r="G1556" s="63"/>
    </row>
    <row r="1557" spans="1:8" ht="15" customHeight="1" x14ac:dyDescent="0.25">
      <c r="A1557" s="2" t="s">
        <v>1188</v>
      </c>
      <c r="B1557" s="2" t="s">
        <v>1166</v>
      </c>
      <c r="C1557" s="3">
        <v>28800</v>
      </c>
      <c r="D1557" s="3">
        <v>0</v>
      </c>
      <c r="E1557" s="3">
        <v>11800</v>
      </c>
      <c r="F1557" s="3">
        <v>23600</v>
      </c>
      <c r="G1557" s="59">
        <v>18000</v>
      </c>
    </row>
    <row r="1558" spans="1:8" ht="15" customHeight="1" x14ac:dyDescent="0.25">
      <c r="A1558" s="2" t="s">
        <v>1189</v>
      </c>
      <c r="B1558" s="2" t="s">
        <v>1181</v>
      </c>
      <c r="C1558" s="3">
        <v>0</v>
      </c>
      <c r="D1558" s="3">
        <v>0</v>
      </c>
      <c r="E1558" s="3">
        <v>0</v>
      </c>
      <c r="F1558" s="3">
        <v>350</v>
      </c>
      <c r="G1558" s="59">
        <v>0</v>
      </c>
    </row>
    <row r="1559" spans="1:8" ht="15" customHeight="1" x14ac:dyDescent="0.25">
      <c r="A1559" s="1" t="s">
        <v>1158</v>
      </c>
      <c r="B1559" s="1" t="s">
        <v>2</v>
      </c>
      <c r="C1559" s="4">
        <v>28800</v>
      </c>
      <c r="D1559" s="4">
        <v>0</v>
      </c>
      <c r="E1559" s="4">
        <f>E1557+E1558</f>
        <v>11800</v>
      </c>
      <c r="F1559" s="6">
        <f>SUM(F1557:F1558)</f>
        <v>23950</v>
      </c>
      <c r="G1559" s="6">
        <f>SUM(G1557:G1558)</f>
        <v>18000</v>
      </c>
    </row>
    <row r="1560" spans="1:8" x14ac:dyDescent="0.25">
      <c r="A1560" s="1" t="s">
        <v>2</v>
      </c>
      <c r="B1560" s="1" t="s">
        <v>2</v>
      </c>
      <c r="C1560" s="1" t="s">
        <v>2</v>
      </c>
      <c r="D1560" s="1" t="s">
        <v>2</v>
      </c>
      <c r="E1560" s="1"/>
      <c r="F1560" s="1" t="s">
        <v>2</v>
      </c>
      <c r="G1560" s="1" t="s">
        <v>2</v>
      </c>
    </row>
    <row r="1561" spans="1:8" ht="15" customHeight="1" x14ac:dyDescent="0.25">
      <c r="A1561" s="1" t="s">
        <v>1190</v>
      </c>
      <c r="B1561" s="1" t="s">
        <v>2</v>
      </c>
      <c r="C1561" s="4">
        <v>158800</v>
      </c>
      <c r="D1561" s="4">
        <v>0</v>
      </c>
      <c r="E1561" s="4">
        <f>E1554+E1559</f>
        <v>11800</v>
      </c>
      <c r="F1561" s="6">
        <f>F1559+F1554</f>
        <v>163950</v>
      </c>
      <c r="G1561" s="6">
        <f>G1559+G1554</f>
        <v>163000</v>
      </c>
    </row>
    <row r="1562" spans="1:8" ht="15" customHeight="1" x14ac:dyDescent="0.25">
      <c r="A1562" s="25" t="s">
        <v>2823</v>
      </c>
      <c r="B1562" s="25"/>
      <c r="C1562" s="33">
        <f>C1536+C1549-C1561</f>
        <v>1998.5400000000081</v>
      </c>
      <c r="D1562" s="33">
        <f t="shared" ref="D1562:G1562" si="44">D1536+D1549-D1561</f>
        <v>2000.01</v>
      </c>
      <c r="E1562" s="33">
        <f t="shared" si="44"/>
        <v>2002.869999999999</v>
      </c>
      <c r="F1562" s="33">
        <f t="shared" si="44"/>
        <v>1648.5400000000081</v>
      </c>
      <c r="G1562" s="33">
        <f t="shared" si="44"/>
        <v>-161351.46</v>
      </c>
      <c r="H1562" s="25"/>
    </row>
    <row r="1563" spans="1:8" x14ac:dyDescent="0.25">
      <c r="A1563" s="1" t="s">
        <v>2</v>
      </c>
      <c r="B1563" s="1" t="s">
        <v>2</v>
      </c>
      <c r="C1563" s="1" t="s">
        <v>2</v>
      </c>
      <c r="D1563" s="1" t="s">
        <v>2</v>
      </c>
      <c r="E1563" s="1"/>
      <c r="F1563" s="1" t="s">
        <v>2</v>
      </c>
      <c r="G1563" s="1" t="s">
        <v>2</v>
      </c>
    </row>
    <row r="1564" spans="1:8" ht="15" customHeight="1" x14ac:dyDescent="0.25">
      <c r="A1564" s="27" t="s">
        <v>2824</v>
      </c>
      <c r="B1564" s="27" t="s">
        <v>2</v>
      </c>
      <c r="C1564" s="28">
        <v>296.12</v>
      </c>
      <c r="D1564" s="28">
        <v>709.14</v>
      </c>
      <c r="E1564" s="28">
        <v>709.14</v>
      </c>
      <c r="F1564" s="28">
        <v>709.14</v>
      </c>
      <c r="G1564" s="28">
        <f>F1576</f>
        <v>709.14000000001397</v>
      </c>
      <c r="H1564" s="27"/>
    </row>
    <row r="1565" spans="1:8" ht="24" x14ac:dyDescent="0.25">
      <c r="A1565" s="23" t="s">
        <v>1191</v>
      </c>
      <c r="B1565" s="23" t="s">
        <v>2</v>
      </c>
      <c r="C1565" s="29"/>
      <c r="D1565" s="29"/>
      <c r="E1565" s="29"/>
      <c r="F1565" s="29"/>
      <c r="G1565" s="29"/>
      <c r="H1565" s="29"/>
    </row>
    <row r="1566" spans="1:8" x14ac:dyDescent="0.25">
      <c r="A1566" s="39" t="s">
        <v>2026</v>
      </c>
      <c r="B1566" s="23"/>
      <c r="C1566" s="29"/>
      <c r="D1566" s="29"/>
      <c r="E1566" s="29"/>
      <c r="F1566" s="29"/>
      <c r="G1566" s="29"/>
      <c r="H1566" s="29"/>
    </row>
    <row r="1567" spans="1:8" x14ac:dyDescent="0.25">
      <c r="A1567" s="30" t="s">
        <v>2825</v>
      </c>
      <c r="B1567" s="30" t="s">
        <v>2826</v>
      </c>
      <c r="C1567" s="31">
        <v>64321.89</v>
      </c>
      <c r="D1567" s="31">
        <v>34376.629999999997</v>
      </c>
      <c r="E1567" s="31">
        <v>35765.15</v>
      </c>
      <c r="F1567" s="31">
        <v>63910</v>
      </c>
      <c r="G1567" s="31">
        <v>64000</v>
      </c>
      <c r="H1567" s="29"/>
    </row>
    <row r="1568" spans="1:8" x14ac:dyDescent="0.25">
      <c r="A1568" s="30" t="s">
        <v>2827</v>
      </c>
      <c r="B1568" s="30" t="s">
        <v>2409</v>
      </c>
      <c r="C1568" s="31">
        <v>0.13</v>
      </c>
      <c r="D1568" s="31">
        <v>0.09</v>
      </c>
      <c r="E1568" s="31">
        <v>0.26</v>
      </c>
      <c r="F1568" s="31">
        <v>0</v>
      </c>
      <c r="G1568" s="31">
        <v>0</v>
      </c>
      <c r="H1568" s="29"/>
    </row>
    <row r="1569" spans="1:8" x14ac:dyDescent="0.25">
      <c r="A1569" s="30" t="s">
        <v>2828</v>
      </c>
      <c r="B1569" s="30" t="s">
        <v>2829</v>
      </c>
      <c r="C1569" s="31">
        <v>57369</v>
      </c>
      <c r="D1569" s="31">
        <v>0</v>
      </c>
      <c r="E1569" s="31">
        <v>28097.26</v>
      </c>
      <c r="F1569" s="31">
        <v>56195</v>
      </c>
      <c r="G1569" s="58">
        <v>0</v>
      </c>
      <c r="H1569" s="29"/>
    </row>
    <row r="1570" spans="1:8" x14ac:dyDescent="0.25">
      <c r="A1570" s="30" t="s">
        <v>2830</v>
      </c>
      <c r="B1570" s="30" t="s">
        <v>2809</v>
      </c>
      <c r="C1570" s="31">
        <v>64794</v>
      </c>
      <c r="D1570" s="31">
        <v>0</v>
      </c>
      <c r="E1570" s="31">
        <v>32983.74</v>
      </c>
      <c r="F1570" s="31">
        <v>65968</v>
      </c>
      <c r="G1570" s="58">
        <v>0</v>
      </c>
      <c r="H1570" s="29"/>
    </row>
    <row r="1571" spans="1:8" ht="24" x14ac:dyDescent="0.25">
      <c r="A1571" s="23" t="s">
        <v>1194</v>
      </c>
      <c r="B1571" s="23" t="s">
        <v>2</v>
      </c>
      <c r="C1571" s="32">
        <v>186485.02</v>
      </c>
      <c r="D1571" s="32">
        <v>34376.720000000001</v>
      </c>
      <c r="E1571" s="32">
        <f>SUM(E1567:E1570)</f>
        <v>96846.41</v>
      </c>
      <c r="F1571" s="32">
        <f>SUM(F1567:F1570)</f>
        <v>186073</v>
      </c>
      <c r="G1571" s="32">
        <f>SUM(G1567:G1570)</f>
        <v>64000</v>
      </c>
      <c r="H1571" s="29"/>
    </row>
    <row r="1572" spans="1:8" ht="15" customHeight="1" x14ac:dyDescent="0.25">
      <c r="A1572" s="1" t="s">
        <v>740</v>
      </c>
      <c r="B1572" s="1" t="s">
        <v>2</v>
      </c>
      <c r="C1572" s="40"/>
      <c r="D1572" s="40"/>
      <c r="E1572" s="40"/>
    </row>
    <row r="1573" spans="1:8" ht="15" customHeight="1" x14ac:dyDescent="0.25">
      <c r="A1573" s="2" t="s">
        <v>1192</v>
      </c>
      <c r="B1573" s="2" t="s">
        <v>1163</v>
      </c>
      <c r="C1573" s="3">
        <v>160113.87</v>
      </c>
      <c r="D1573" s="3">
        <v>83404.5</v>
      </c>
      <c r="E1573" s="3">
        <v>83404.5</v>
      </c>
      <c r="F1573" s="3">
        <v>169124</v>
      </c>
      <c r="G1573" s="59">
        <f>61743.11+116214.26</f>
        <v>177957.37</v>
      </c>
    </row>
    <row r="1574" spans="1:8" ht="15" customHeight="1" x14ac:dyDescent="0.25">
      <c r="A1574" s="2" t="s">
        <v>1193</v>
      </c>
      <c r="B1574" s="2" t="s">
        <v>1166</v>
      </c>
      <c r="C1574" s="3">
        <v>25958.13</v>
      </c>
      <c r="D1574" s="3">
        <v>9631.5</v>
      </c>
      <c r="E1574" s="3">
        <v>9631.5</v>
      </c>
      <c r="F1574" s="3">
        <v>16949</v>
      </c>
      <c r="G1574" s="59">
        <f>3183.44+5960.15</f>
        <v>9143.59</v>
      </c>
    </row>
    <row r="1575" spans="1:8" ht="15" customHeight="1" x14ac:dyDescent="0.25">
      <c r="A1575" s="1" t="s">
        <v>1194</v>
      </c>
      <c r="B1575" s="1" t="s">
        <v>2</v>
      </c>
      <c r="C1575" s="4">
        <v>186072</v>
      </c>
      <c r="D1575" s="4">
        <v>93036</v>
      </c>
      <c r="E1575" s="4">
        <f>E1573+E1574</f>
        <v>93036</v>
      </c>
      <c r="F1575" s="6">
        <f>SUM(F1573:F1574)</f>
        <v>186073</v>
      </c>
      <c r="G1575" s="61">
        <f>SUM(G1573:G1574)</f>
        <v>187100.96</v>
      </c>
    </row>
    <row r="1576" spans="1:8" ht="15" customHeight="1" x14ac:dyDescent="0.25">
      <c r="A1576" s="25" t="s">
        <v>2831</v>
      </c>
      <c r="B1576" s="25"/>
      <c r="C1576" s="33">
        <f>C1564+C1571-C1575</f>
        <v>709.13999999998487</v>
      </c>
      <c r="D1576" s="33">
        <f t="shared" ref="D1576:G1576" si="45">D1564+D1571-D1575</f>
        <v>-57950.14</v>
      </c>
      <c r="E1576" s="33">
        <f t="shared" si="45"/>
        <v>4519.5500000000029</v>
      </c>
      <c r="F1576" s="33">
        <f t="shared" si="45"/>
        <v>709.14000000001397</v>
      </c>
      <c r="G1576" s="33">
        <f t="shared" si="45"/>
        <v>-122391.81999999998</v>
      </c>
      <c r="H1576" s="25"/>
    </row>
    <row r="1577" spans="1:8" x14ac:dyDescent="0.25">
      <c r="A1577" s="1" t="s">
        <v>2</v>
      </c>
      <c r="B1577" s="1" t="s">
        <v>2</v>
      </c>
      <c r="C1577" s="1" t="s">
        <v>2</v>
      </c>
      <c r="D1577" s="1" t="s">
        <v>2</v>
      </c>
      <c r="E1577" s="1"/>
      <c r="F1577" s="1" t="s">
        <v>2</v>
      </c>
      <c r="G1577" s="1" t="s">
        <v>2</v>
      </c>
    </row>
    <row r="1578" spans="1:8" ht="15" customHeight="1" x14ac:dyDescent="0.25">
      <c r="A1578" s="27" t="s">
        <v>2832</v>
      </c>
      <c r="B1578" s="27"/>
      <c r="C1578" s="28">
        <v>897191.34</v>
      </c>
      <c r="D1578" s="28">
        <v>863745.1</v>
      </c>
      <c r="E1578" s="28">
        <v>863745.1</v>
      </c>
      <c r="F1578" s="28">
        <v>863745.1</v>
      </c>
      <c r="G1578" s="28">
        <f>F1594</f>
        <v>742936.10000000009</v>
      </c>
      <c r="H1578" s="27"/>
    </row>
    <row r="1579" spans="1:8" ht="24" x14ac:dyDescent="0.25">
      <c r="A1579" s="23" t="s">
        <v>1195</v>
      </c>
      <c r="B1579" s="23" t="s">
        <v>2</v>
      </c>
      <c r="C1579" s="29"/>
      <c r="D1579" s="29"/>
      <c r="E1579" s="29"/>
      <c r="F1579" s="29"/>
      <c r="G1579" s="29"/>
      <c r="H1579" s="29"/>
    </row>
    <row r="1580" spans="1:8" x14ac:dyDescent="0.25">
      <c r="A1580" s="39" t="s">
        <v>2026</v>
      </c>
      <c r="B1580" s="23"/>
      <c r="C1580" s="29"/>
      <c r="D1580" s="29"/>
      <c r="E1580" s="29"/>
      <c r="F1580" s="29"/>
      <c r="G1580" s="29"/>
      <c r="H1580" s="29"/>
    </row>
    <row r="1581" spans="1:8" x14ac:dyDescent="0.25">
      <c r="A1581" s="30" t="s">
        <v>2833</v>
      </c>
      <c r="B1581" s="30" t="s">
        <v>2834</v>
      </c>
      <c r="C1581" s="31">
        <v>842615.03</v>
      </c>
      <c r="D1581" s="31">
        <v>260308.63</v>
      </c>
      <c r="E1581" s="31">
        <v>527985.68000000005</v>
      </c>
      <c r="F1581" s="31">
        <v>300000</v>
      </c>
      <c r="G1581" s="58">
        <v>300000</v>
      </c>
      <c r="H1581" s="29"/>
    </row>
    <row r="1582" spans="1:8" x14ac:dyDescent="0.25">
      <c r="A1582" s="30" t="s">
        <v>2835</v>
      </c>
      <c r="B1582" s="30" t="s">
        <v>2409</v>
      </c>
      <c r="C1582" s="31">
        <v>492.85</v>
      </c>
      <c r="D1582" s="31">
        <v>375.29</v>
      </c>
      <c r="E1582" s="31">
        <v>1210.93</v>
      </c>
      <c r="F1582" s="31">
        <v>0</v>
      </c>
      <c r="G1582" s="58">
        <v>0</v>
      </c>
      <c r="H1582" s="29"/>
    </row>
    <row r="1583" spans="1:8" x14ac:dyDescent="0.25">
      <c r="A1583" s="30" t="s">
        <v>2836</v>
      </c>
      <c r="B1583" s="30" t="s">
        <v>2703</v>
      </c>
      <c r="C1583" s="31">
        <v>0</v>
      </c>
      <c r="D1583" s="31">
        <v>0</v>
      </c>
      <c r="E1583" s="31">
        <v>0</v>
      </c>
      <c r="F1583" s="31">
        <v>0</v>
      </c>
      <c r="G1583" s="58">
        <v>0</v>
      </c>
      <c r="H1583" s="29"/>
    </row>
    <row r="1584" spans="1:8" ht="24" x14ac:dyDescent="0.25">
      <c r="A1584" s="23" t="s">
        <v>1210</v>
      </c>
      <c r="B1584" s="23" t="s">
        <v>2</v>
      </c>
      <c r="C1584" s="32">
        <v>843107.88</v>
      </c>
      <c r="D1584" s="32">
        <v>260683.92</v>
      </c>
      <c r="E1584" s="32">
        <f>SUM(E1581:E1583)</f>
        <v>529196.6100000001</v>
      </c>
      <c r="F1584" s="32">
        <f>SUM(F1581:F1583)</f>
        <v>300000</v>
      </c>
      <c r="G1584" s="32">
        <f>SUM(G1581:G1583)</f>
        <v>300000</v>
      </c>
      <c r="H1584" s="29"/>
    </row>
    <row r="1585" spans="1:8" ht="15" customHeight="1" x14ac:dyDescent="0.25">
      <c r="A1585" s="1" t="s">
        <v>740</v>
      </c>
      <c r="B1585" s="1" t="s">
        <v>2</v>
      </c>
      <c r="C1585" s="40"/>
      <c r="F1585" s="40"/>
    </row>
    <row r="1586" spans="1:8" ht="15" customHeight="1" x14ac:dyDescent="0.25">
      <c r="A1586" s="2" t="s">
        <v>1196</v>
      </c>
      <c r="B1586" s="2" t="s">
        <v>1197</v>
      </c>
      <c r="C1586" s="3">
        <v>59529</v>
      </c>
      <c r="D1586" s="3">
        <v>0</v>
      </c>
      <c r="E1586" s="3">
        <v>3920.52</v>
      </c>
      <c r="F1586" s="3">
        <v>63041</v>
      </c>
      <c r="G1586" s="59">
        <f>G1513</f>
        <v>66823.460000000006</v>
      </c>
    </row>
    <row r="1587" spans="1:8" ht="15" customHeight="1" x14ac:dyDescent="0.25">
      <c r="A1587" s="2" t="s">
        <v>1198</v>
      </c>
      <c r="B1587" s="2" t="s">
        <v>1199</v>
      </c>
      <c r="C1587" s="3">
        <v>79400</v>
      </c>
      <c r="D1587" s="3">
        <v>0</v>
      </c>
      <c r="E1587" s="3">
        <v>5900</v>
      </c>
      <c r="F1587" s="3">
        <v>81800</v>
      </c>
      <c r="G1587" s="59">
        <v>0</v>
      </c>
    </row>
    <row r="1588" spans="1:8" x14ac:dyDescent="0.25">
      <c r="A1588" s="2" t="s">
        <v>1200</v>
      </c>
      <c r="B1588" s="2" t="s">
        <v>1201</v>
      </c>
      <c r="C1588" s="3">
        <v>64794</v>
      </c>
      <c r="D1588" s="3">
        <v>0</v>
      </c>
      <c r="E1588" s="3">
        <v>32983.74</v>
      </c>
      <c r="F1588" s="3">
        <v>65968</v>
      </c>
      <c r="G1588" s="59">
        <v>0</v>
      </c>
    </row>
    <row r="1589" spans="1:8" ht="15" customHeight="1" x14ac:dyDescent="0.25">
      <c r="A1589" s="2" t="s">
        <v>1202</v>
      </c>
      <c r="B1589" s="2" t="s">
        <v>1203</v>
      </c>
      <c r="C1589" s="3">
        <v>665000</v>
      </c>
      <c r="D1589" s="3">
        <v>0</v>
      </c>
      <c r="E1589" s="3">
        <v>0</v>
      </c>
      <c r="F1589" s="3">
        <v>0</v>
      </c>
      <c r="G1589" s="59">
        <v>0</v>
      </c>
    </row>
    <row r="1590" spans="1:8" ht="15" customHeight="1" x14ac:dyDescent="0.25">
      <c r="A1590" s="2" t="s">
        <v>1204</v>
      </c>
      <c r="B1590" s="2" t="s">
        <v>1205</v>
      </c>
      <c r="C1590" s="3">
        <v>0</v>
      </c>
      <c r="D1590" s="3">
        <v>0</v>
      </c>
      <c r="E1590" s="3">
        <v>0</v>
      </c>
      <c r="F1590" s="3">
        <v>0</v>
      </c>
      <c r="G1590" s="59">
        <v>0</v>
      </c>
    </row>
    <row r="1591" spans="1:8" ht="15" customHeight="1" x14ac:dyDescent="0.25">
      <c r="A1591" s="2" t="s">
        <v>1206</v>
      </c>
      <c r="B1591" s="2" t="s">
        <v>1207</v>
      </c>
      <c r="C1591" s="3">
        <v>0</v>
      </c>
      <c r="D1591" s="3">
        <v>0</v>
      </c>
      <c r="E1591" s="3">
        <v>0</v>
      </c>
      <c r="F1591" s="3">
        <v>0</v>
      </c>
      <c r="G1591" s="59">
        <v>0</v>
      </c>
    </row>
    <row r="1592" spans="1:8" ht="15" customHeight="1" x14ac:dyDescent="0.25">
      <c r="A1592" s="2" t="s">
        <v>1208</v>
      </c>
      <c r="B1592" s="2" t="s">
        <v>1209</v>
      </c>
      <c r="C1592" s="3">
        <v>7831.12</v>
      </c>
      <c r="D1592" s="3">
        <v>0</v>
      </c>
      <c r="E1592" s="3">
        <v>0</v>
      </c>
      <c r="F1592" s="3">
        <v>210000</v>
      </c>
      <c r="G1592" s="59">
        <v>0</v>
      </c>
    </row>
    <row r="1593" spans="1:8" ht="15" customHeight="1" x14ac:dyDescent="0.25">
      <c r="A1593" s="1" t="s">
        <v>1210</v>
      </c>
      <c r="B1593" s="1" t="s">
        <v>2</v>
      </c>
      <c r="C1593" s="4">
        <v>876554.12</v>
      </c>
      <c r="D1593" s="4">
        <v>0</v>
      </c>
      <c r="E1593" s="4">
        <f>SUM(E1586:E1592)</f>
        <v>42804.259999999995</v>
      </c>
      <c r="F1593" s="6">
        <f>SUM(F1586:F1592)</f>
        <v>420809</v>
      </c>
      <c r="G1593" s="6">
        <f>SUM(G1586:G1592)</f>
        <v>66823.460000000006</v>
      </c>
    </row>
    <row r="1594" spans="1:8" ht="15" customHeight="1" x14ac:dyDescent="0.25">
      <c r="A1594" s="25" t="s">
        <v>2837</v>
      </c>
      <c r="B1594" s="25"/>
      <c r="C1594" s="33">
        <f>C1578+C1584-C1593</f>
        <v>863745.1</v>
      </c>
      <c r="D1594" s="33">
        <f t="shared" ref="D1594:G1594" si="46">D1578+D1584-D1593</f>
        <v>1124429.02</v>
      </c>
      <c r="E1594" s="33">
        <f t="shared" si="46"/>
        <v>1350137.45</v>
      </c>
      <c r="F1594" s="33">
        <f t="shared" si="46"/>
        <v>742936.10000000009</v>
      </c>
      <c r="G1594" s="33">
        <f t="shared" si="46"/>
        <v>976112.64000000013</v>
      </c>
      <c r="H1594" s="25"/>
    </row>
    <row r="1595" spans="1:8" x14ac:dyDescent="0.25">
      <c r="A1595" s="1" t="s">
        <v>2</v>
      </c>
      <c r="B1595" s="1" t="s">
        <v>2</v>
      </c>
      <c r="C1595" s="1" t="s">
        <v>2</v>
      </c>
      <c r="D1595" s="1" t="s">
        <v>2</v>
      </c>
      <c r="E1595" s="1"/>
      <c r="F1595" s="1" t="s">
        <v>2</v>
      </c>
      <c r="G1595" s="1" t="s">
        <v>2</v>
      </c>
    </row>
    <row r="1596" spans="1:8" ht="15" customHeight="1" x14ac:dyDescent="0.25">
      <c r="A1596" s="27" t="s">
        <v>2838</v>
      </c>
      <c r="B1596" s="27"/>
      <c r="C1596" s="28">
        <v>1420620.11</v>
      </c>
      <c r="D1596" s="28">
        <v>2201330.37</v>
      </c>
      <c r="E1596" s="28">
        <v>2201330.37</v>
      </c>
      <c r="F1596" s="28">
        <v>2201330.37</v>
      </c>
      <c r="G1596" s="28">
        <f>F1611</f>
        <v>1516330.37</v>
      </c>
      <c r="H1596" s="27"/>
    </row>
    <row r="1597" spans="1:8" ht="24" x14ac:dyDescent="0.25">
      <c r="A1597" s="23" t="s">
        <v>1211</v>
      </c>
      <c r="B1597" s="23" t="s">
        <v>2</v>
      </c>
      <c r="C1597" s="29"/>
      <c r="D1597" s="29"/>
      <c r="E1597" s="29"/>
      <c r="F1597" s="29"/>
      <c r="G1597" s="29"/>
      <c r="H1597" s="29"/>
    </row>
    <row r="1598" spans="1:8" x14ac:dyDescent="0.25">
      <c r="A1598" s="39" t="s">
        <v>2026</v>
      </c>
      <c r="B1598" s="23"/>
      <c r="C1598" s="29"/>
      <c r="D1598" s="29"/>
      <c r="E1598" s="29"/>
      <c r="F1598" s="29"/>
      <c r="G1598" s="29"/>
      <c r="H1598" s="29"/>
    </row>
    <row r="1599" spans="1:8" x14ac:dyDescent="0.25">
      <c r="A1599" s="30" t="s">
        <v>2839</v>
      </c>
      <c r="B1599" s="30" t="s">
        <v>2840</v>
      </c>
      <c r="C1599" s="31">
        <v>842615.03</v>
      </c>
      <c r="D1599" s="31">
        <v>260308.62</v>
      </c>
      <c r="E1599" s="31">
        <v>527985.66</v>
      </c>
      <c r="F1599" s="31">
        <v>300000</v>
      </c>
      <c r="G1599" s="58">
        <v>0</v>
      </c>
      <c r="H1599" s="29"/>
    </row>
    <row r="1600" spans="1:8" x14ac:dyDescent="0.25">
      <c r="A1600" s="30" t="s">
        <v>2841</v>
      </c>
      <c r="B1600" s="30" t="s">
        <v>2409</v>
      </c>
      <c r="C1600" s="31">
        <v>971.16</v>
      </c>
      <c r="D1600" s="31">
        <v>790.89</v>
      </c>
      <c r="E1600" s="31">
        <v>2752.05</v>
      </c>
      <c r="F1600" s="31">
        <v>0</v>
      </c>
      <c r="G1600" s="58">
        <v>0</v>
      </c>
      <c r="H1600" s="29"/>
    </row>
    <row r="1601" spans="1:8" x14ac:dyDescent="0.25">
      <c r="A1601" s="30" t="s">
        <v>2842</v>
      </c>
      <c r="B1601" s="30" t="s">
        <v>2703</v>
      </c>
      <c r="C1601" s="31">
        <v>0</v>
      </c>
      <c r="D1601" s="31">
        <v>0</v>
      </c>
      <c r="E1601" s="31">
        <v>0</v>
      </c>
      <c r="F1601" s="31">
        <v>0</v>
      </c>
      <c r="G1601" s="58">
        <v>0</v>
      </c>
      <c r="H1601" s="29"/>
    </row>
    <row r="1602" spans="1:8" x14ac:dyDescent="0.25">
      <c r="A1602" s="30" t="s">
        <v>2843</v>
      </c>
      <c r="B1602" s="30" t="s">
        <v>2844</v>
      </c>
      <c r="C1602" s="31">
        <v>0</v>
      </c>
      <c r="D1602" s="31">
        <v>0</v>
      </c>
      <c r="E1602" s="31">
        <v>0</v>
      </c>
      <c r="F1602" s="31">
        <v>0</v>
      </c>
      <c r="G1602" s="58">
        <v>0</v>
      </c>
      <c r="H1602" s="29"/>
    </row>
    <row r="1603" spans="1:8" ht="24" x14ac:dyDescent="0.25">
      <c r="A1603" s="23" t="s">
        <v>1220</v>
      </c>
      <c r="B1603" s="23" t="s">
        <v>2</v>
      </c>
      <c r="C1603" s="32">
        <v>843586.19</v>
      </c>
      <c r="D1603" s="32">
        <v>261099.51</v>
      </c>
      <c r="E1603" s="32">
        <f>SUM(E1599:E1602)</f>
        <v>530737.71000000008</v>
      </c>
      <c r="F1603" s="32">
        <f>SUM(F1599:F1602)</f>
        <v>300000</v>
      </c>
      <c r="G1603" s="32">
        <f>SUM(G1599:G1602)</f>
        <v>0</v>
      </c>
      <c r="H1603" s="29"/>
    </row>
    <row r="1604" spans="1:8" ht="15" customHeight="1" x14ac:dyDescent="0.25">
      <c r="A1604" s="1" t="s">
        <v>740</v>
      </c>
      <c r="B1604" s="1" t="s">
        <v>2</v>
      </c>
      <c r="C1604" s="40"/>
      <c r="D1604" s="40"/>
      <c r="E1604" s="40"/>
      <c r="F1604" s="40"/>
    </row>
    <row r="1605" spans="1:8" ht="15" customHeight="1" x14ac:dyDescent="0.25">
      <c r="A1605" s="2" t="s">
        <v>1212</v>
      </c>
      <c r="B1605" s="2" t="s">
        <v>1213</v>
      </c>
      <c r="C1605" s="3">
        <v>54774.81</v>
      </c>
      <c r="D1605" s="3">
        <v>776.88</v>
      </c>
      <c r="E1605" s="3">
        <v>776.88</v>
      </c>
      <c r="F1605" s="3">
        <v>150000</v>
      </c>
      <c r="G1605" s="59">
        <v>0</v>
      </c>
    </row>
    <row r="1606" spans="1:8" ht="15" customHeight="1" x14ac:dyDescent="0.25">
      <c r="A1606" s="2" t="s">
        <v>1214</v>
      </c>
      <c r="B1606" s="2" t="s">
        <v>1215</v>
      </c>
      <c r="C1606" s="3">
        <v>270</v>
      </c>
      <c r="D1606" s="3">
        <v>0</v>
      </c>
      <c r="E1606" s="3">
        <v>0</v>
      </c>
      <c r="F1606" s="3">
        <v>625000</v>
      </c>
      <c r="G1606" s="59">
        <v>0</v>
      </c>
    </row>
    <row r="1607" spans="1:8" ht="15" customHeight="1" x14ac:dyDescent="0.25">
      <c r="A1607" s="2" t="s">
        <v>1216</v>
      </c>
      <c r="B1607" s="2" t="s">
        <v>1207</v>
      </c>
      <c r="C1607" s="3">
        <v>0</v>
      </c>
      <c r="D1607" s="3">
        <v>0</v>
      </c>
      <c r="E1607" s="3">
        <v>0</v>
      </c>
      <c r="F1607" s="3">
        <v>0</v>
      </c>
      <c r="G1607" s="59">
        <v>0</v>
      </c>
    </row>
    <row r="1608" spans="1:8" x14ac:dyDescent="0.25">
      <c r="A1608" s="2" t="s">
        <v>1217</v>
      </c>
      <c r="B1608" s="2" t="s">
        <v>1218</v>
      </c>
      <c r="C1608" s="3">
        <v>0</v>
      </c>
      <c r="D1608" s="3">
        <v>0</v>
      </c>
      <c r="E1608" s="3">
        <v>0</v>
      </c>
      <c r="F1608" s="3">
        <v>0</v>
      </c>
      <c r="G1608" s="59">
        <v>0</v>
      </c>
    </row>
    <row r="1609" spans="1:8" ht="15" customHeight="1" x14ac:dyDescent="0.25">
      <c r="A1609" s="2" t="s">
        <v>1219</v>
      </c>
      <c r="B1609" s="2" t="s">
        <v>1209</v>
      </c>
      <c r="C1609" s="3">
        <v>7831.12</v>
      </c>
      <c r="D1609" s="3">
        <v>0</v>
      </c>
      <c r="E1609" s="3">
        <v>0</v>
      </c>
      <c r="F1609" s="3">
        <v>210000</v>
      </c>
      <c r="G1609" s="59">
        <v>0</v>
      </c>
    </row>
    <row r="1610" spans="1:8" ht="15" customHeight="1" x14ac:dyDescent="0.25">
      <c r="A1610" s="1" t="s">
        <v>1220</v>
      </c>
      <c r="B1610" s="1" t="s">
        <v>2</v>
      </c>
      <c r="C1610" s="4">
        <v>62875.93</v>
      </c>
      <c r="D1610" s="4">
        <v>776.88</v>
      </c>
      <c r="E1610" s="4">
        <f>SUM(E1605:E1609)</f>
        <v>776.88</v>
      </c>
      <c r="F1610" s="6">
        <f>SUM(F1605:F1609)</f>
        <v>985000</v>
      </c>
      <c r="G1610" s="6">
        <f>SUM(G1605:G1609)</f>
        <v>0</v>
      </c>
    </row>
    <row r="1611" spans="1:8" ht="15" customHeight="1" x14ac:dyDescent="0.25">
      <c r="A1611" s="25" t="s">
        <v>2845</v>
      </c>
      <c r="B1611" s="25" t="s">
        <v>2</v>
      </c>
      <c r="C1611" s="33">
        <f>C1596+C1603-C1610</f>
        <v>2201330.3699999996</v>
      </c>
      <c r="D1611" s="33">
        <f t="shared" ref="D1611:G1611" si="47">D1596+D1603-D1610</f>
        <v>2461653</v>
      </c>
      <c r="E1611" s="33">
        <f t="shared" si="47"/>
        <v>2731291.2</v>
      </c>
      <c r="F1611" s="33">
        <f t="shared" si="47"/>
        <v>1516330.37</v>
      </c>
      <c r="G1611" s="33">
        <f t="shared" si="47"/>
        <v>1516330.37</v>
      </c>
      <c r="H1611" s="25"/>
    </row>
    <row r="1612" spans="1:8" x14ac:dyDescent="0.25">
      <c r="A1612" s="1" t="s">
        <v>2</v>
      </c>
      <c r="B1612" s="1" t="s">
        <v>2</v>
      </c>
      <c r="C1612" s="1" t="s">
        <v>2</v>
      </c>
      <c r="D1612" s="1" t="s">
        <v>2</v>
      </c>
      <c r="E1612" s="1"/>
      <c r="F1612" s="1" t="s">
        <v>2</v>
      </c>
      <c r="G1612" s="1" t="s">
        <v>2</v>
      </c>
    </row>
    <row r="1613" spans="1:8" ht="15" customHeight="1" x14ac:dyDescent="0.25">
      <c r="A1613" s="27" t="s">
        <v>2847</v>
      </c>
      <c r="B1613" s="27" t="s">
        <v>2</v>
      </c>
      <c r="C1613" s="28">
        <v>0</v>
      </c>
      <c r="D1613" s="28">
        <v>0</v>
      </c>
      <c r="E1613" s="28">
        <v>0</v>
      </c>
      <c r="F1613" s="28">
        <v>0</v>
      </c>
      <c r="G1613" s="28">
        <f>F1632</f>
        <v>0</v>
      </c>
      <c r="H1613" s="27"/>
    </row>
    <row r="1614" spans="1:8" x14ac:dyDescent="0.25">
      <c r="A1614" s="23" t="s">
        <v>1221</v>
      </c>
      <c r="B1614" s="23" t="s">
        <v>2</v>
      </c>
      <c r="C1614" s="29"/>
      <c r="D1614" s="29"/>
      <c r="E1614" s="29"/>
      <c r="F1614" s="29"/>
      <c r="G1614" s="29"/>
      <c r="H1614" s="29"/>
    </row>
    <row r="1615" spans="1:8" x14ac:dyDescent="0.25">
      <c r="A1615" s="23" t="s">
        <v>1095</v>
      </c>
      <c r="B1615" s="23" t="s">
        <v>2</v>
      </c>
      <c r="C1615" s="29"/>
      <c r="D1615" s="29"/>
      <c r="E1615" s="29"/>
      <c r="F1615" s="29"/>
      <c r="G1615" s="29"/>
      <c r="H1615" s="29"/>
    </row>
    <row r="1616" spans="1:8" x14ac:dyDescent="0.25">
      <c r="A1616" s="30" t="s">
        <v>2848</v>
      </c>
      <c r="B1616" s="30" t="s">
        <v>2849</v>
      </c>
      <c r="C1616" s="31">
        <v>0</v>
      </c>
      <c r="D1616" s="31">
        <v>0</v>
      </c>
      <c r="E1616" s="31">
        <v>0</v>
      </c>
      <c r="F1616" s="31">
        <v>480000</v>
      </c>
      <c r="G1616" s="31">
        <v>480000</v>
      </c>
      <c r="H1616" s="57" t="s">
        <v>3431</v>
      </c>
    </row>
    <row r="1617" spans="1:8" x14ac:dyDescent="0.25">
      <c r="A1617" s="30" t="s">
        <v>2850</v>
      </c>
      <c r="B1617" s="30" t="s">
        <v>2851</v>
      </c>
      <c r="C1617" s="31">
        <v>0</v>
      </c>
      <c r="D1617" s="31">
        <v>5000</v>
      </c>
      <c r="E1617" s="31">
        <v>15000</v>
      </c>
      <c r="F1617" s="31">
        <v>0</v>
      </c>
      <c r="G1617" s="58">
        <v>0</v>
      </c>
      <c r="H1617" s="57" t="s">
        <v>3432</v>
      </c>
    </row>
    <row r="1618" spans="1:8" x14ac:dyDescent="0.25">
      <c r="A1618" s="30" t="s">
        <v>2852</v>
      </c>
      <c r="B1618" s="30" t="s">
        <v>2853</v>
      </c>
      <c r="C1618" s="31">
        <v>7831.12</v>
      </c>
      <c r="D1618" s="31">
        <v>0</v>
      </c>
      <c r="E1618" s="31">
        <v>0</v>
      </c>
      <c r="F1618" s="31">
        <v>210000</v>
      </c>
      <c r="G1618" s="58">
        <v>180000</v>
      </c>
      <c r="H1618" s="57" t="s">
        <v>3432</v>
      </c>
    </row>
    <row r="1619" spans="1:8" x14ac:dyDescent="0.25">
      <c r="A1619" s="30" t="s">
        <v>2854</v>
      </c>
      <c r="B1619" s="30" t="s">
        <v>2855</v>
      </c>
      <c r="C1619" s="31">
        <v>7831.12</v>
      </c>
      <c r="D1619" s="31">
        <v>0</v>
      </c>
      <c r="E1619" s="31">
        <v>0</v>
      </c>
      <c r="F1619" s="31">
        <v>210000</v>
      </c>
      <c r="G1619" s="58">
        <v>180000</v>
      </c>
      <c r="H1619" s="57" t="s">
        <v>3432</v>
      </c>
    </row>
    <row r="1620" spans="1:8" x14ac:dyDescent="0.25">
      <c r="A1620" s="30" t="s">
        <v>2856</v>
      </c>
      <c r="B1620" s="30" t="s">
        <v>2857</v>
      </c>
      <c r="C1620" s="31">
        <v>0</v>
      </c>
      <c r="D1620" s="31">
        <v>57179.14</v>
      </c>
      <c r="E1620" s="31">
        <v>89946.33</v>
      </c>
      <c r="F1620" s="31">
        <v>100000</v>
      </c>
      <c r="G1620" s="58">
        <v>0</v>
      </c>
      <c r="H1620" s="57" t="s">
        <v>3432</v>
      </c>
    </row>
    <row r="1621" spans="1:8" x14ac:dyDescent="0.25">
      <c r="A1621" s="23" t="s">
        <v>1116</v>
      </c>
      <c r="B1621" s="23" t="s">
        <v>2</v>
      </c>
      <c r="C1621" s="32">
        <v>15662.24</v>
      </c>
      <c r="D1621" s="32">
        <v>62179.14</v>
      </c>
      <c r="E1621" s="32">
        <f>SUM(E1616:E1620)</f>
        <v>104946.33</v>
      </c>
      <c r="F1621" s="32">
        <f>SUM(F1616:F1620)</f>
        <v>1000000</v>
      </c>
      <c r="G1621" s="32">
        <f>SUM(G1616:G1620)</f>
        <v>840000</v>
      </c>
      <c r="H1621" s="29"/>
    </row>
    <row r="1622" spans="1:8" x14ac:dyDescent="0.25">
      <c r="A1622" s="1" t="s">
        <v>740</v>
      </c>
      <c r="B1622" s="1" t="s">
        <v>2</v>
      </c>
    </row>
    <row r="1623" spans="1:8" ht="15" customHeight="1" x14ac:dyDescent="0.25">
      <c r="A1623" s="2" t="s">
        <v>1222</v>
      </c>
      <c r="B1623" s="2" t="s">
        <v>1223</v>
      </c>
      <c r="C1623" s="3">
        <v>6114.92</v>
      </c>
      <c r="D1623" s="3">
        <v>6711.81</v>
      </c>
      <c r="E1623" s="3">
        <v>8745.44</v>
      </c>
      <c r="F1623" s="3">
        <v>0</v>
      </c>
      <c r="G1623" s="5">
        <v>0</v>
      </c>
    </row>
    <row r="1624" spans="1:8" ht="15" customHeight="1" x14ac:dyDescent="0.25">
      <c r="A1624" s="2" t="s">
        <v>1224</v>
      </c>
      <c r="B1624" s="2" t="s">
        <v>1225</v>
      </c>
      <c r="C1624" s="3">
        <v>518.88</v>
      </c>
      <c r="D1624" s="3">
        <v>621.5</v>
      </c>
      <c r="E1624" s="3">
        <v>789.16</v>
      </c>
      <c r="F1624" s="3">
        <v>0</v>
      </c>
      <c r="G1624" s="5">
        <v>0</v>
      </c>
    </row>
    <row r="1625" spans="1:8" ht="15" customHeight="1" x14ac:dyDescent="0.25">
      <c r="A1625" s="2" t="s">
        <v>1226</v>
      </c>
      <c r="B1625" s="2" t="s">
        <v>1227</v>
      </c>
      <c r="C1625" s="3">
        <v>21.3</v>
      </c>
      <c r="D1625" s="3">
        <v>22.69</v>
      </c>
      <c r="E1625" s="3">
        <v>27.8</v>
      </c>
      <c r="F1625" s="3">
        <v>0</v>
      </c>
      <c r="G1625" s="5">
        <v>0</v>
      </c>
    </row>
    <row r="1626" spans="1:8" ht="15" customHeight="1" x14ac:dyDescent="0.25">
      <c r="A1626" s="2" t="s">
        <v>1228</v>
      </c>
      <c r="B1626" s="2" t="s">
        <v>1229</v>
      </c>
      <c r="C1626" s="3">
        <v>465.93</v>
      </c>
      <c r="D1626" s="3">
        <v>511.22</v>
      </c>
      <c r="E1626" s="3">
        <v>666.23</v>
      </c>
      <c r="F1626" s="3">
        <v>0</v>
      </c>
      <c r="G1626" s="5">
        <v>0</v>
      </c>
    </row>
    <row r="1627" spans="1:8" ht="15" customHeight="1" x14ac:dyDescent="0.25">
      <c r="A1627" s="2" t="s">
        <v>1230</v>
      </c>
      <c r="B1627" s="2" t="s">
        <v>1231</v>
      </c>
      <c r="C1627" s="3">
        <v>836.36</v>
      </c>
      <c r="D1627" s="3">
        <v>901.85</v>
      </c>
      <c r="E1627" s="3">
        <v>1178.52</v>
      </c>
      <c r="F1627" s="3">
        <v>0</v>
      </c>
      <c r="G1627" s="5">
        <v>0</v>
      </c>
    </row>
    <row r="1628" spans="1:8" ht="15" customHeight="1" x14ac:dyDescent="0.25">
      <c r="A1628" s="2" t="s">
        <v>1232</v>
      </c>
      <c r="B1628" s="2" t="s">
        <v>13</v>
      </c>
      <c r="C1628" s="3">
        <v>8.98</v>
      </c>
      <c r="D1628" s="3">
        <v>13.69</v>
      </c>
      <c r="E1628" s="3">
        <v>17.86</v>
      </c>
      <c r="F1628" s="3">
        <v>0</v>
      </c>
      <c r="G1628" s="5">
        <v>0</v>
      </c>
    </row>
    <row r="1629" spans="1:8" ht="15" customHeight="1" x14ac:dyDescent="0.25">
      <c r="A1629" s="2" t="s">
        <v>1233</v>
      </c>
      <c r="B1629" s="2" t="s">
        <v>1234</v>
      </c>
      <c r="C1629" s="3">
        <v>7695.87</v>
      </c>
      <c r="D1629" s="3">
        <v>69000</v>
      </c>
      <c r="E1629" s="3">
        <v>160800</v>
      </c>
      <c r="F1629" s="3">
        <v>0</v>
      </c>
      <c r="G1629" s="55">
        <v>140000</v>
      </c>
    </row>
    <row r="1630" spans="1:8" ht="15" customHeight="1" x14ac:dyDescent="0.25">
      <c r="A1630" s="2" t="s">
        <v>1235</v>
      </c>
      <c r="B1630" s="2" t="s">
        <v>1236</v>
      </c>
      <c r="C1630" s="3">
        <v>0</v>
      </c>
      <c r="D1630" s="3">
        <v>0</v>
      </c>
      <c r="E1630" s="3">
        <v>0</v>
      </c>
      <c r="F1630" s="3">
        <v>1000000</v>
      </c>
      <c r="G1630" s="55">
        <v>700000</v>
      </c>
    </row>
    <row r="1631" spans="1:8" ht="15" customHeight="1" x14ac:dyDescent="0.25">
      <c r="A1631" s="1" t="s">
        <v>1237</v>
      </c>
      <c r="B1631" s="1" t="s">
        <v>2</v>
      </c>
      <c r="C1631" s="4">
        <v>15662.24</v>
      </c>
      <c r="D1631" s="4">
        <v>77782.759999999995</v>
      </c>
      <c r="E1631" s="4">
        <f>SUM(E1623:E1630)</f>
        <v>172225.01</v>
      </c>
      <c r="F1631" s="6">
        <f>SUM(F1623:F1630)</f>
        <v>1000000</v>
      </c>
      <c r="G1631" s="6">
        <f>SUM(G1623:G1630)</f>
        <v>840000</v>
      </c>
    </row>
    <row r="1632" spans="1:8" ht="15" customHeight="1" x14ac:dyDescent="0.25">
      <c r="A1632" s="25" t="s">
        <v>2858</v>
      </c>
      <c r="B1632" s="25" t="s">
        <v>2</v>
      </c>
      <c r="C1632" s="33">
        <f>C1613+C1621-C1631</f>
        <v>0</v>
      </c>
      <c r="D1632" s="33">
        <f t="shared" ref="D1632:F1632" si="48">D1613+D1621-D1631</f>
        <v>-15603.619999999995</v>
      </c>
      <c r="E1632" s="33">
        <f>E1613+E1621-E1631</f>
        <v>-67278.680000000008</v>
      </c>
      <c r="F1632" s="33">
        <f t="shared" si="48"/>
        <v>0</v>
      </c>
      <c r="G1632" s="33">
        <f>G1613+G1621-G1631</f>
        <v>0</v>
      </c>
      <c r="H1632" s="25"/>
    </row>
    <row r="1633" spans="1:8" x14ac:dyDescent="0.25">
      <c r="A1633" s="1" t="s">
        <v>2</v>
      </c>
      <c r="B1633" s="1" t="s">
        <v>2</v>
      </c>
      <c r="C1633" s="36"/>
      <c r="D1633" s="1" t="s">
        <v>2</v>
      </c>
      <c r="E1633" s="1"/>
      <c r="F1633" s="1" t="s">
        <v>2</v>
      </c>
      <c r="G1633" s="1" t="s">
        <v>2</v>
      </c>
    </row>
    <row r="1634" spans="1:8" ht="15" customHeight="1" x14ac:dyDescent="0.25">
      <c r="A1634" s="27" t="s">
        <v>2846</v>
      </c>
      <c r="B1634" s="27" t="s">
        <v>2</v>
      </c>
      <c r="C1634" s="28">
        <v>447619.74</v>
      </c>
      <c r="D1634" s="28">
        <v>923270.94</v>
      </c>
      <c r="E1634" s="28">
        <v>923270.94</v>
      </c>
      <c r="F1634" s="28">
        <v>923270.94</v>
      </c>
      <c r="G1634" s="28">
        <f>F1676</f>
        <v>903270.93999999948</v>
      </c>
      <c r="H1634" s="27"/>
    </row>
    <row r="1635" spans="1:8" x14ac:dyDescent="0.25">
      <c r="A1635" s="23" t="s">
        <v>1238</v>
      </c>
      <c r="B1635" s="23" t="s">
        <v>2</v>
      </c>
      <c r="C1635" s="29"/>
      <c r="D1635" s="29"/>
      <c r="E1635" s="29"/>
      <c r="F1635" s="29"/>
      <c r="G1635" s="29"/>
      <c r="H1635" s="29"/>
    </row>
    <row r="1636" spans="1:8" x14ac:dyDescent="0.25">
      <c r="A1636" s="23" t="s">
        <v>2026</v>
      </c>
      <c r="B1636" s="23" t="s">
        <v>2</v>
      </c>
      <c r="C1636" s="29"/>
      <c r="D1636" s="29"/>
      <c r="E1636" s="29"/>
      <c r="F1636" s="29"/>
      <c r="G1636" s="29"/>
      <c r="H1636" s="29"/>
    </row>
    <row r="1637" spans="1:8" x14ac:dyDescent="0.25">
      <c r="A1637" s="30" t="s">
        <v>2859</v>
      </c>
      <c r="B1637" s="30" t="s">
        <v>2608</v>
      </c>
      <c r="C1637" s="31">
        <v>0</v>
      </c>
      <c r="D1637" s="31">
        <v>0</v>
      </c>
      <c r="E1637" s="31">
        <v>0</v>
      </c>
      <c r="F1637" s="31">
        <v>0</v>
      </c>
      <c r="G1637" s="31">
        <v>0</v>
      </c>
      <c r="H1637" s="29"/>
    </row>
    <row r="1638" spans="1:8" x14ac:dyDescent="0.25">
      <c r="A1638" s="30" t="s">
        <v>2860</v>
      </c>
      <c r="B1638" s="30" t="s">
        <v>2861</v>
      </c>
      <c r="C1638" s="31">
        <v>1673582.64</v>
      </c>
      <c r="D1638" s="31">
        <v>216014.56</v>
      </c>
      <c r="E1638" s="31">
        <v>3485478.84</v>
      </c>
      <c r="F1638" s="31">
        <v>8693138.1799999997</v>
      </c>
      <c r="G1638" s="58">
        <v>0</v>
      </c>
      <c r="H1638" s="29" t="s">
        <v>3433</v>
      </c>
    </row>
    <row r="1639" spans="1:8" x14ac:dyDescent="0.25">
      <c r="A1639" s="30" t="s">
        <v>2862</v>
      </c>
      <c r="B1639" s="30" t="s">
        <v>2752</v>
      </c>
      <c r="C1639" s="31">
        <v>703178.3</v>
      </c>
      <c r="D1639" s="31">
        <v>12205.86</v>
      </c>
      <c r="E1639" s="31">
        <v>412125.81</v>
      </c>
      <c r="F1639" s="31">
        <v>1806861.82</v>
      </c>
      <c r="G1639" s="58">
        <v>0</v>
      </c>
      <c r="H1639" s="29" t="s">
        <v>3433</v>
      </c>
    </row>
    <row r="1640" spans="1:8" x14ac:dyDescent="0.25">
      <c r="A1640" s="30" t="s">
        <v>2863</v>
      </c>
      <c r="B1640" s="30" t="s">
        <v>2173</v>
      </c>
      <c r="C1640" s="31">
        <v>0</v>
      </c>
      <c r="D1640" s="31">
        <v>0</v>
      </c>
      <c r="E1640" s="31">
        <v>0</v>
      </c>
      <c r="F1640" s="31">
        <v>0</v>
      </c>
      <c r="G1640" s="31">
        <v>0</v>
      </c>
      <c r="H1640" s="29"/>
    </row>
    <row r="1641" spans="1:8" x14ac:dyDescent="0.25">
      <c r="A1641" s="30" t="s">
        <v>2864</v>
      </c>
      <c r="B1641" s="30" t="s">
        <v>2865</v>
      </c>
      <c r="C1641" s="31">
        <v>0</v>
      </c>
      <c r="D1641" s="31">
        <v>0</v>
      </c>
      <c r="E1641" s="31">
        <v>0</v>
      </c>
      <c r="F1641" s="31">
        <v>0</v>
      </c>
      <c r="G1641" s="31">
        <v>0</v>
      </c>
      <c r="H1641" s="29"/>
    </row>
    <row r="1642" spans="1:8" x14ac:dyDescent="0.25">
      <c r="A1642" s="30" t="s">
        <v>2866</v>
      </c>
      <c r="B1642" s="30" t="s">
        <v>2867</v>
      </c>
      <c r="C1642" s="31">
        <v>0</v>
      </c>
      <c r="D1642" s="31">
        <v>0</v>
      </c>
      <c r="E1642" s="31">
        <v>0</v>
      </c>
      <c r="F1642" s="31">
        <v>0</v>
      </c>
      <c r="G1642" s="31">
        <v>0</v>
      </c>
      <c r="H1642" s="29"/>
    </row>
    <row r="1643" spans="1:8" x14ac:dyDescent="0.25">
      <c r="A1643" s="30" t="s">
        <v>2868</v>
      </c>
      <c r="B1643" s="30" t="s">
        <v>2409</v>
      </c>
      <c r="C1643" s="31">
        <v>0</v>
      </c>
      <c r="D1643" s="31">
        <v>0</v>
      </c>
      <c r="E1643" s="31">
        <v>0</v>
      </c>
      <c r="F1643" s="31">
        <v>0</v>
      </c>
      <c r="G1643" s="31">
        <v>0</v>
      </c>
      <c r="H1643" s="29"/>
    </row>
    <row r="1644" spans="1:8" x14ac:dyDescent="0.25">
      <c r="A1644" s="23" t="s">
        <v>2</v>
      </c>
      <c r="B1644" s="23" t="s">
        <v>2</v>
      </c>
      <c r="C1644" s="23" t="s">
        <v>2</v>
      </c>
      <c r="D1644" s="23" t="s">
        <v>2</v>
      </c>
      <c r="E1644" s="23"/>
      <c r="F1644" s="23" t="s">
        <v>2</v>
      </c>
      <c r="G1644" s="23" t="s">
        <v>2</v>
      </c>
      <c r="H1644" s="29"/>
    </row>
    <row r="1645" spans="1:8" x14ac:dyDescent="0.25">
      <c r="A1645" s="23" t="s">
        <v>2724</v>
      </c>
      <c r="B1645" s="23" t="s">
        <v>2</v>
      </c>
      <c r="C1645" s="29"/>
      <c r="D1645" s="29"/>
      <c r="E1645" s="29"/>
      <c r="F1645" s="29"/>
      <c r="G1645" s="29"/>
      <c r="H1645" s="29"/>
    </row>
    <row r="1646" spans="1:8" x14ac:dyDescent="0.25">
      <c r="A1646" s="30" t="s">
        <v>2869</v>
      </c>
      <c r="B1646" s="30" t="s">
        <v>2870</v>
      </c>
      <c r="C1646" s="31">
        <v>0</v>
      </c>
      <c r="D1646" s="31">
        <v>0</v>
      </c>
      <c r="E1646" s="31">
        <v>0</v>
      </c>
      <c r="F1646" s="31">
        <v>0</v>
      </c>
      <c r="G1646" s="31">
        <v>0</v>
      </c>
      <c r="H1646" s="29"/>
    </row>
    <row r="1647" spans="1:8" x14ac:dyDescent="0.25">
      <c r="A1647" s="30" t="s">
        <v>2871</v>
      </c>
      <c r="B1647" s="30" t="s">
        <v>2872</v>
      </c>
      <c r="C1647" s="31">
        <v>0</v>
      </c>
      <c r="D1647" s="31">
        <v>0</v>
      </c>
      <c r="E1647" s="31">
        <v>0</v>
      </c>
      <c r="F1647" s="31">
        <v>0</v>
      </c>
      <c r="G1647" s="31">
        <v>0</v>
      </c>
      <c r="H1647" s="29"/>
    </row>
    <row r="1648" spans="1:8" x14ac:dyDescent="0.25">
      <c r="A1648" s="30" t="s">
        <v>2873</v>
      </c>
      <c r="B1648" s="30" t="s">
        <v>2874</v>
      </c>
      <c r="C1648" s="31">
        <v>0</v>
      </c>
      <c r="D1648" s="31">
        <v>0</v>
      </c>
      <c r="E1648" s="31">
        <v>0</v>
      </c>
      <c r="F1648" s="31">
        <v>0</v>
      </c>
      <c r="G1648" s="31">
        <v>0</v>
      </c>
      <c r="H1648" s="29"/>
    </row>
    <row r="1649" spans="1:8" x14ac:dyDescent="0.25">
      <c r="A1649" s="30" t="s">
        <v>2875</v>
      </c>
      <c r="B1649" s="30" t="s">
        <v>2876</v>
      </c>
      <c r="C1649" s="31">
        <v>0</v>
      </c>
      <c r="D1649" s="31">
        <v>0</v>
      </c>
      <c r="E1649" s="31">
        <v>0</v>
      </c>
      <c r="F1649" s="31">
        <v>0</v>
      </c>
      <c r="G1649" s="31">
        <v>0</v>
      </c>
      <c r="H1649" s="29"/>
    </row>
    <row r="1650" spans="1:8" x14ac:dyDescent="0.25">
      <c r="A1650" s="30" t="s">
        <v>2877</v>
      </c>
      <c r="B1650" s="30" t="s">
        <v>2878</v>
      </c>
      <c r="C1650" s="31">
        <v>0</v>
      </c>
      <c r="D1650" s="31">
        <v>0</v>
      </c>
      <c r="E1650" s="31">
        <v>0</v>
      </c>
      <c r="F1650" s="31">
        <v>0</v>
      </c>
      <c r="G1650" s="31">
        <v>0</v>
      </c>
      <c r="H1650" s="29"/>
    </row>
    <row r="1651" spans="1:8" x14ac:dyDescent="0.25">
      <c r="A1651" s="30" t="s">
        <v>2879</v>
      </c>
      <c r="B1651" s="30" t="s">
        <v>2880</v>
      </c>
      <c r="C1651" s="31">
        <v>0</v>
      </c>
      <c r="D1651" s="31">
        <v>0</v>
      </c>
      <c r="E1651" s="31">
        <v>0</v>
      </c>
      <c r="F1651" s="31">
        <v>0</v>
      </c>
      <c r="G1651" s="31">
        <v>0</v>
      </c>
      <c r="H1651" s="29"/>
    </row>
    <row r="1652" spans="1:8" x14ac:dyDescent="0.25">
      <c r="A1652" s="23" t="s">
        <v>2725</v>
      </c>
      <c r="B1652" s="23" t="s">
        <v>2</v>
      </c>
      <c r="C1652" s="32">
        <v>0</v>
      </c>
      <c r="D1652" s="32">
        <v>0</v>
      </c>
      <c r="E1652" s="32">
        <f>SUM(E1646:E1651)</f>
        <v>0</v>
      </c>
      <c r="F1652" s="32">
        <f>SUM(F1646:F1651)</f>
        <v>0</v>
      </c>
      <c r="G1652" s="32">
        <f>SUM(G1646:G1651)</f>
        <v>0</v>
      </c>
      <c r="H1652" s="29"/>
    </row>
    <row r="1653" spans="1:8" x14ac:dyDescent="0.25">
      <c r="A1653" s="23" t="s">
        <v>2</v>
      </c>
      <c r="B1653" s="23" t="s">
        <v>2</v>
      </c>
      <c r="C1653" s="23" t="s">
        <v>2</v>
      </c>
      <c r="D1653" s="23" t="s">
        <v>2</v>
      </c>
      <c r="E1653" s="23"/>
      <c r="F1653" s="23" t="s">
        <v>2</v>
      </c>
      <c r="G1653" s="23" t="s">
        <v>2</v>
      </c>
      <c r="H1653" s="29"/>
    </row>
    <row r="1654" spans="1:8" x14ac:dyDescent="0.25">
      <c r="A1654" s="30" t="s">
        <v>2881</v>
      </c>
      <c r="B1654" s="30" t="s">
        <v>2882</v>
      </c>
      <c r="C1654" s="31">
        <v>250000</v>
      </c>
      <c r="D1654" s="31">
        <v>0</v>
      </c>
      <c r="E1654" s="31">
        <v>0</v>
      </c>
      <c r="F1654" s="31">
        <v>4000000</v>
      </c>
      <c r="G1654" s="58">
        <v>0</v>
      </c>
      <c r="H1654" s="29" t="s">
        <v>3434</v>
      </c>
    </row>
    <row r="1655" spans="1:8" x14ac:dyDescent="0.25">
      <c r="A1655" s="30"/>
      <c r="B1655" s="30"/>
      <c r="C1655" s="31"/>
      <c r="D1655" s="31"/>
      <c r="E1655" s="31"/>
      <c r="F1655" s="31"/>
      <c r="G1655" s="31"/>
      <c r="H1655" s="29"/>
    </row>
    <row r="1656" spans="1:8" x14ac:dyDescent="0.25">
      <c r="A1656" s="23" t="s">
        <v>1116</v>
      </c>
      <c r="B1656" s="23" t="s">
        <v>2</v>
      </c>
      <c r="C1656" s="32">
        <v>2626760.94</v>
      </c>
      <c r="D1656" s="32">
        <v>228220.42</v>
      </c>
      <c r="E1656" s="32">
        <f>SUM(E1637:E1643)+E1652+E1654</f>
        <v>3897604.65</v>
      </c>
      <c r="F1656" s="32">
        <f>F1654+F1652+SUM(F1637:F1643)</f>
        <v>14500000</v>
      </c>
      <c r="G1656" s="32">
        <f>G1654+G1652+SUM(G1637:G1643)</f>
        <v>0</v>
      </c>
      <c r="H1656" s="29"/>
    </row>
    <row r="1657" spans="1:8" ht="15" customHeight="1" x14ac:dyDescent="0.25">
      <c r="A1657" s="1" t="s">
        <v>740</v>
      </c>
      <c r="B1657" s="1" t="s">
        <v>2</v>
      </c>
    </row>
    <row r="1658" spans="1:8" ht="28.5" customHeight="1" x14ac:dyDescent="0.25">
      <c r="A1658" s="1" t="s">
        <v>1239</v>
      </c>
      <c r="B1658" s="1" t="s">
        <v>2</v>
      </c>
    </row>
    <row r="1659" spans="1:8" ht="15" customHeight="1" x14ac:dyDescent="0.25">
      <c r="A1659" s="2" t="s">
        <v>1240</v>
      </c>
      <c r="B1659" s="2" t="s">
        <v>1241</v>
      </c>
      <c r="C1659" s="3">
        <v>0</v>
      </c>
      <c r="D1659" s="3">
        <v>0</v>
      </c>
      <c r="E1659" s="3">
        <v>0</v>
      </c>
      <c r="F1659" s="3">
        <v>0</v>
      </c>
      <c r="G1659" s="5">
        <v>0</v>
      </c>
    </row>
    <row r="1660" spans="1:8" ht="15" customHeight="1" x14ac:dyDescent="0.25">
      <c r="A1660" s="2" t="s">
        <v>1242</v>
      </c>
      <c r="B1660" s="2" t="s">
        <v>144</v>
      </c>
      <c r="C1660" s="3">
        <v>0</v>
      </c>
      <c r="D1660" s="3">
        <v>0</v>
      </c>
      <c r="E1660" s="3">
        <v>41.11</v>
      </c>
      <c r="F1660" s="3">
        <v>0</v>
      </c>
      <c r="G1660" s="5">
        <v>0</v>
      </c>
    </row>
    <row r="1661" spans="1:8" ht="15" customHeight="1" x14ac:dyDescent="0.25">
      <c r="A1661" s="2" t="s">
        <v>1243</v>
      </c>
      <c r="B1661" s="2" t="s">
        <v>1244</v>
      </c>
      <c r="C1661" s="3">
        <v>0</v>
      </c>
      <c r="D1661" s="3">
        <v>0</v>
      </c>
      <c r="E1661" s="3">
        <v>0</v>
      </c>
      <c r="F1661" s="3">
        <v>0</v>
      </c>
      <c r="G1661" s="5">
        <v>0</v>
      </c>
    </row>
    <row r="1662" spans="1:8" ht="15" customHeight="1" x14ac:dyDescent="0.25">
      <c r="A1662" s="2" t="s">
        <v>1245</v>
      </c>
      <c r="B1662" s="2" t="s">
        <v>1246</v>
      </c>
      <c r="C1662" s="3">
        <v>143219.82</v>
      </c>
      <c r="D1662" s="3">
        <v>38241.24</v>
      </c>
      <c r="E1662" s="3">
        <v>262065.46</v>
      </c>
      <c r="F1662" s="3">
        <v>1500000</v>
      </c>
      <c r="G1662" s="56">
        <v>500000</v>
      </c>
    </row>
    <row r="1663" spans="1:8" ht="15" customHeight="1" x14ac:dyDescent="0.25">
      <c r="A1663" s="2" t="s">
        <v>1247</v>
      </c>
      <c r="B1663" s="2" t="s">
        <v>1248</v>
      </c>
      <c r="C1663" s="3">
        <v>0</v>
      </c>
      <c r="D1663" s="3">
        <v>0</v>
      </c>
      <c r="E1663" s="3">
        <v>0</v>
      </c>
      <c r="F1663" s="3">
        <v>0</v>
      </c>
      <c r="G1663" s="5">
        <v>0</v>
      </c>
    </row>
    <row r="1664" spans="1:8" x14ac:dyDescent="0.25">
      <c r="A1664" s="2" t="s">
        <v>1249</v>
      </c>
      <c r="B1664" s="2" t="s">
        <v>1250</v>
      </c>
      <c r="C1664" s="3">
        <v>4100.7700000000004</v>
      </c>
      <c r="D1664" s="3">
        <v>0</v>
      </c>
      <c r="E1664" s="3">
        <v>0</v>
      </c>
      <c r="F1664" s="3">
        <v>0</v>
      </c>
      <c r="G1664" s="5">
        <v>0</v>
      </c>
    </row>
    <row r="1665" spans="1:8" ht="15" customHeight="1" x14ac:dyDescent="0.25">
      <c r="A1665" s="2" t="s">
        <v>1251</v>
      </c>
      <c r="B1665" s="2" t="s">
        <v>1252</v>
      </c>
      <c r="C1665" s="3">
        <v>0</v>
      </c>
      <c r="D1665" s="3">
        <v>0</v>
      </c>
      <c r="E1665" s="3">
        <v>0</v>
      </c>
      <c r="F1665" s="3">
        <v>0</v>
      </c>
      <c r="G1665" s="5">
        <v>0</v>
      </c>
    </row>
    <row r="1666" spans="1:8" x14ac:dyDescent="0.25">
      <c r="A1666" s="2" t="s">
        <v>1253</v>
      </c>
      <c r="B1666" s="2" t="s">
        <v>1254</v>
      </c>
      <c r="C1666" s="3">
        <v>108255.38</v>
      </c>
      <c r="D1666" s="3">
        <v>79835.37</v>
      </c>
      <c r="E1666" s="3">
        <v>145414.99</v>
      </c>
      <c r="F1666" s="3">
        <v>0</v>
      </c>
      <c r="G1666" s="5">
        <v>0</v>
      </c>
    </row>
    <row r="1667" spans="1:8" ht="15" customHeight="1" x14ac:dyDescent="0.25">
      <c r="A1667" s="2" t="s">
        <v>1255</v>
      </c>
      <c r="B1667" s="2" t="s">
        <v>1256</v>
      </c>
      <c r="C1667" s="3">
        <v>1611310.82</v>
      </c>
      <c r="D1667" s="3">
        <v>308227.5</v>
      </c>
      <c r="E1667" s="3">
        <v>3905613.49</v>
      </c>
      <c r="F1667" s="3">
        <v>9000000</v>
      </c>
      <c r="G1667" s="56">
        <v>5000000</v>
      </c>
    </row>
    <row r="1668" spans="1:8" ht="15" customHeight="1" x14ac:dyDescent="0.25">
      <c r="A1668" s="2" t="s">
        <v>1257</v>
      </c>
      <c r="B1668" s="2" t="s">
        <v>1258</v>
      </c>
      <c r="C1668" s="3">
        <v>32378.3</v>
      </c>
      <c r="D1668" s="3">
        <v>31024.87</v>
      </c>
      <c r="E1668" s="3">
        <v>35772.730000000003</v>
      </c>
      <c r="F1668" s="3">
        <v>0</v>
      </c>
      <c r="G1668" s="5">
        <v>0</v>
      </c>
    </row>
    <row r="1669" spans="1:8" ht="26.25" customHeight="1" x14ac:dyDescent="0.25">
      <c r="A1669" s="1" t="s">
        <v>1259</v>
      </c>
      <c r="B1669" s="1" t="s">
        <v>2</v>
      </c>
      <c r="C1669" s="4">
        <v>1899265.09</v>
      </c>
      <c r="D1669" s="4">
        <v>457328.98</v>
      </c>
      <c r="E1669" s="4">
        <f>SUM(E1659:E1668)</f>
        <v>4348907.78</v>
      </c>
      <c r="F1669" s="6">
        <f>SUM(F1659:F1668)</f>
        <v>10500000</v>
      </c>
      <c r="G1669" s="6">
        <f>SUM(G1659:G1668)</f>
        <v>5500000</v>
      </c>
    </row>
    <row r="1670" spans="1:8" x14ac:dyDescent="0.25">
      <c r="A1670" s="1" t="s">
        <v>2</v>
      </c>
      <c r="B1670" s="1" t="s">
        <v>2</v>
      </c>
      <c r="C1670" s="1" t="s">
        <v>2</v>
      </c>
      <c r="D1670" s="1" t="s">
        <v>2</v>
      </c>
      <c r="E1670" s="1"/>
      <c r="F1670" s="1" t="s">
        <v>2</v>
      </c>
      <c r="G1670" s="1" t="s">
        <v>2</v>
      </c>
    </row>
    <row r="1671" spans="1:8" ht="15" customHeight="1" x14ac:dyDescent="0.25">
      <c r="A1671" s="2" t="s">
        <v>1260</v>
      </c>
      <c r="B1671" s="2" t="s">
        <v>1261</v>
      </c>
      <c r="C1671" s="3">
        <v>0</v>
      </c>
      <c r="D1671" s="3">
        <v>0</v>
      </c>
      <c r="E1671" s="3">
        <v>0</v>
      </c>
      <c r="F1671" s="3">
        <v>0</v>
      </c>
      <c r="G1671" s="59">
        <v>0</v>
      </c>
    </row>
    <row r="1672" spans="1:8" ht="15" customHeight="1" x14ac:dyDescent="0.25">
      <c r="A1672" s="2" t="s">
        <v>1262</v>
      </c>
      <c r="B1672" s="2" t="s">
        <v>1263</v>
      </c>
      <c r="C1672" s="3">
        <v>250000</v>
      </c>
      <c r="D1672" s="3">
        <v>0</v>
      </c>
      <c r="E1672" s="3">
        <v>0</v>
      </c>
      <c r="F1672" s="3">
        <v>4000000</v>
      </c>
      <c r="G1672" s="59">
        <v>0</v>
      </c>
    </row>
    <row r="1673" spans="1:8" x14ac:dyDescent="0.25">
      <c r="A1673" s="2" t="s">
        <v>1264</v>
      </c>
      <c r="B1673" s="2" t="s">
        <v>1265</v>
      </c>
      <c r="C1673" s="3">
        <v>1844.65</v>
      </c>
      <c r="D1673" s="3">
        <v>0</v>
      </c>
      <c r="E1673" s="3">
        <v>0</v>
      </c>
      <c r="F1673" s="3">
        <v>20000</v>
      </c>
      <c r="G1673" s="59">
        <v>0</v>
      </c>
    </row>
    <row r="1674" spans="1:8" x14ac:dyDescent="0.25">
      <c r="A1674" s="2"/>
      <c r="B1674" s="2"/>
      <c r="C1674" s="3"/>
      <c r="D1674" s="3"/>
      <c r="E1674" s="3"/>
      <c r="F1674" s="3"/>
      <c r="G1674" s="5"/>
    </row>
    <row r="1675" spans="1:8" ht="15" customHeight="1" x14ac:dyDescent="0.25">
      <c r="A1675" s="1" t="s">
        <v>1266</v>
      </c>
      <c r="B1675" s="1" t="s">
        <v>2</v>
      </c>
      <c r="C1675" s="4">
        <v>2151109.7400000002</v>
      </c>
      <c r="D1675" s="4">
        <v>457328.98</v>
      </c>
      <c r="E1675" s="4">
        <f>E1669+E1671+E1672+E1673</f>
        <v>4348907.78</v>
      </c>
      <c r="F1675" s="6">
        <f>SUM(F1671:F1673)+F1669</f>
        <v>14520000</v>
      </c>
      <c r="G1675" s="6">
        <f>SUM(G1671:G1673)+G1669</f>
        <v>5500000</v>
      </c>
    </row>
    <row r="1676" spans="1:8" ht="15" customHeight="1" x14ac:dyDescent="0.25">
      <c r="A1676" s="25" t="s">
        <v>2883</v>
      </c>
      <c r="B1676" s="25" t="s">
        <v>2</v>
      </c>
      <c r="C1676" s="33">
        <f>C1634+C1656-C1675</f>
        <v>923270.93999999948</v>
      </c>
      <c r="D1676" s="33">
        <f t="shared" ref="D1676:G1676" si="49">D1634+D1656-D1675</f>
        <v>694162.37999999989</v>
      </c>
      <c r="E1676" s="33">
        <f t="shared" si="49"/>
        <v>471967.80999999959</v>
      </c>
      <c r="F1676" s="33">
        <f t="shared" si="49"/>
        <v>903270.93999999948</v>
      </c>
      <c r="G1676" s="33">
        <f t="shared" si="49"/>
        <v>-4596729.0600000005</v>
      </c>
      <c r="H1676" s="25"/>
    </row>
    <row r="1677" spans="1:8" x14ac:dyDescent="0.25">
      <c r="A1677" s="1" t="s">
        <v>2</v>
      </c>
      <c r="B1677" s="1" t="s">
        <v>2</v>
      </c>
      <c r="C1677" s="1" t="s">
        <v>2</v>
      </c>
      <c r="D1677" s="1" t="s">
        <v>2</v>
      </c>
      <c r="E1677" s="1"/>
      <c r="F1677" s="1" t="s">
        <v>2</v>
      </c>
      <c r="G1677" s="1" t="s">
        <v>2</v>
      </c>
    </row>
    <row r="1678" spans="1:8" ht="15" customHeight="1" x14ac:dyDescent="0.25">
      <c r="A1678" s="27" t="s">
        <v>2884</v>
      </c>
      <c r="B1678" s="27" t="s">
        <v>2</v>
      </c>
      <c r="C1678" s="28">
        <v>2986587.26</v>
      </c>
      <c r="D1678" s="28">
        <v>4441881.0599999996</v>
      </c>
      <c r="E1678" s="28">
        <v>4441881.0599999996</v>
      </c>
      <c r="F1678" s="28">
        <v>4441881.0599999996</v>
      </c>
      <c r="G1678" s="28">
        <f>F1918</f>
        <v>3375433.7699999996</v>
      </c>
      <c r="H1678" s="27"/>
    </row>
    <row r="1679" spans="1:8" x14ac:dyDescent="0.25">
      <c r="A1679" s="23" t="s">
        <v>1267</v>
      </c>
      <c r="B1679" s="23" t="s">
        <v>2</v>
      </c>
      <c r="C1679" s="29"/>
      <c r="D1679" s="29"/>
      <c r="E1679" s="29"/>
      <c r="F1679" s="29"/>
      <c r="G1679" s="29"/>
      <c r="H1679" s="29"/>
    </row>
    <row r="1680" spans="1:8" x14ac:dyDescent="0.25">
      <c r="A1680" s="23" t="s">
        <v>2026</v>
      </c>
      <c r="B1680" s="23" t="s">
        <v>2</v>
      </c>
      <c r="C1680" s="29"/>
      <c r="D1680" s="29"/>
      <c r="E1680" s="29"/>
      <c r="F1680" s="29"/>
      <c r="G1680" s="29"/>
      <c r="H1680" s="29"/>
    </row>
    <row r="1681" spans="1:8" x14ac:dyDescent="0.25">
      <c r="A1681" s="23" t="s">
        <v>2048</v>
      </c>
      <c r="B1681" s="23" t="s">
        <v>2</v>
      </c>
      <c r="C1681" s="29"/>
      <c r="D1681" s="29"/>
      <c r="E1681" s="29"/>
      <c r="F1681" s="29"/>
      <c r="G1681" s="29"/>
      <c r="H1681" s="29"/>
    </row>
    <row r="1682" spans="1:8" x14ac:dyDescent="0.25">
      <c r="A1682" s="30" t="s">
        <v>2885</v>
      </c>
      <c r="B1682" s="30" t="s">
        <v>2886</v>
      </c>
      <c r="C1682" s="31">
        <v>6912</v>
      </c>
      <c r="D1682" s="31">
        <v>6912</v>
      </c>
      <c r="E1682" s="31">
        <v>6912</v>
      </c>
      <c r="F1682" s="31">
        <v>6912</v>
      </c>
      <c r="G1682" s="31">
        <v>6912</v>
      </c>
      <c r="H1682" s="29"/>
    </row>
    <row r="1683" spans="1:8" x14ac:dyDescent="0.25">
      <c r="A1683" s="23" t="s">
        <v>2101</v>
      </c>
      <c r="B1683" s="23" t="s">
        <v>2</v>
      </c>
      <c r="C1683" s="32">
        <v>6912</v>
      </c>
      <c r="D1683" s="32">
        <v>6912</v>
      </c>
      <c r="E1683" s="32">
        <f>E1682</f>
        <v>6912</v>
      </c>
      <c r="F1683" s="32">
        <f>SUM(F1682)</f>
        <v>6912</v>
      </c>
      <c r="G1683" s="32">
        <f>SUM(G1682)</f>
        <v>6912</v>
      </c>
      <c r="H1683" s="29"/>
    </row>
    <row r="1684" spans="1:8" x14ac:dyDescent="0.25">
      <c r="A1684" s="23" t="s">
        <v>2</v>
      </c>
      <c r="B1684" s="23" t="s">
        <v>2</v>
      </c>
      <c r="C1684" s="23" t="s">
        <v>2</v>
      </c>
      <c r="D1684" s="23" t="s">
        <v>2</v>
      </c>
      <c r="E1684" s="23"/>
      <c r="F1684" s="23" t="s">
        <v>2</v>
      </c>
      <c r="G1684" s="23" t="s">
        <v>2</v>
      </c>
      <c r="H1684" s="29"/>
    </row>
    <row r="1685" spans="1:8" x14ac:dyDescent="0.25">
      <c r="A1685" s="23" t="s">
        <v>2102</v>
      </c>
      <c r="B1685" s="23" t="s">
        <v>2</v>
      </c>
      <c r="C1685" s="29"/>
      <c r="D1685" s="29"/>
      <c r="E1685" s="29"/>
      <c r="F1685" s="29"/>
      <c r="G1685" s="29"/>
      <c r="H1685" s="29"/>
    </row>
    <row r="1686" spans="1:8" x14ac:dyDescent="0.25">
      <c r="A1686" s="30" t="s">
        <v>2887</v>
      </c>
      <c r="B1686" s="30" t="s">
        <v>2608</v>
      </c>
      <c r="C1686" s="31">
        <v>0</v>
      </c>
      <c r="D1686" s="31">
        <v>0</v>
      </c>
      <c r="E1686" s="31">
        <v>0</v>
      </c>
      <c r="F1686" s="31">
        <v>0</v>
      </c>
      <c r="G1686" s="31">
        <v>0</v>
      </c>
      <c r="H1686" s="29"/>
    </row>
    <row r="1687" spans="1:8" x14ac:dyDescent="0.25">
      <c r="A1687" s="30" t="s">
        <v>2888</v>
      </c>
      <c r="B1687" s="30" t="s">
        <v>2889</v>
      </c>
      <c r="C1687" s="31">
        <v>0</v>
      </c>
      <c r="D1687" s="31">
        <v>0</v>
      </c>
      <c r="E1687" s="31">
        <v>0</v>
      </c>
      <c r="F1687" s="31">
        <v>0</v>
      </c>
      <c r="G1687" s="31">
        <v>0</v>
      </c>
      <c r="H1687" s="29"/>
    </row>
    <row r="1688" spans="1:8" x14ac:dyDescent="0.25">
      <c r="A1688" s="30" t="s">
        <v>2890</v>
      </c>
      <c r="B1688" s="30" t="s">
        <v>2123</v>
      </c>
      <c r="C1688" s="31">
        <v>598.72</v>
      </c>
      <c r="D1688" s="31">
        <v>0</v>
      </c>
      <c r="E1688" s="31">
        <v>0</v>
      </c>
      <c r="F1688" s="31">
        <v>0</v>
      </c>
      <c r="G1688" s="31">
        <v>0</v>
      </c>
      <c r="H1688" s="29"/>
    </row>
    <row r="1689" spans="1:8" ht="24" x14ac:dyDescent="0.25">
      <c r="A1689" s="23" t="s">
        <v>2174</v>
      </c>
      <c r="B1689" s="23" t="s">
        <v>2</v>
      </c>
      <c r="C1689" s="32">
        <v>598.72</v>
      </c>
      <c r="D1689" s="32">
        <v>0</v>
      </c>
      <c r="E1689" s="32">
        <f>SUM(E1686:E1688)</f>
        <v>0</v>
      </c>
      <c r="F1689" s="32">
        <f>SUM(F1686:F1688)</f>
        <v>0</v>
      </c>
      <c r="G1689" s="32">
        <f>SUM(G1686:G1688)</f>
        <v>0</v>
      </c>
      <c r="H1689" s="29"/>
    </row>
    <row r="1690" spans="1:8" x14ac:dyDescent="0.25">
      <c r="A1690" s="23" t="s">
        <v>2</v>
      </c>
      <c r="B1690" s="23" t="s">
        <v>2</v>
      </c>
      <c r="C1690" s="23" t="s">
        <v>2</v>
      </c>
      <c r="D1690" s="23" t="s">
        <v>2</v>
      </c>
      <c r="E1690" s="23"/>
      <c r="F1690" s="23" t="s">
        <v>2</v>
      </c>
      <c r="G1690" s="23" t="s">
        <v>2</v>
      </c>
      <c r="H1690" s="29"/>
    </row>
    <row r="1691" spans="1:8" ht="24" x14ac:dyDescent="0.25">
      <c r="A1691" s="23" t="s">
        <v>2706</v>
      </c>
      <c r="B1691" s="23" t="s">
        <v>2</v>
      </c>
      <c r="C1691" s="29"/>
      <c r="D1691" s="29"/>
      <c r="E1691" s="29"/>
      <c r="F1691" s="29"/>
      <c r="G1691" s="29"/>
      <c r="H1691" s="29"/>
    </row>
    <row r="1692" spans="1:8" x14ac:dyDescent="0.25">
      <c r="A1692" s="23" t="s">
        <v>2707</v>
      </c>
      <c r="B1692" s="23" t="s">
        <v>2</v>
      </c>
      <c r="C1692" s="29"/>
      <c r="D1692" s="29"/>
      <c r="E1692" s="29"/>
      <c r="F1692" s="29"/>
      <c r="G1692" s="29"/>
      <c r="H1692" s="29"/>
    </row>
    <row r="1693" spans="1:8" x14ac:dyDescent="0.25">
      <c r="A1693" s="30" t="s">
        <v>2891</v>
      </c>
      <c r="B1693" s="30" t="s">
        <v>2892</v>
      </c>
      <c r="C1693" s="31">
        <v>1315160.0900000001</v>
      </c>
      <c r="D1693" s="31">
        <v>382170.9</v>
      </c>
      <c r="E1693" s="31">
        <v>663702.80000000005</v>
      </c>
      <c r="F1693" s="31">
        <v>660977</v>
      </c>
      <c r="G1693" s="67">
        <v>660977</v>
      </c>
      <c r="H1693" s="57" t="s">
        <v>3435</v>
      </c>
    </row>
    <row r="1694" spans="1:8" x14ac:dyDescent="0.25">
      <c r="A1694" s="30" t="s">
        <v>2893</v>
      </c>
      <c r="B1694" s="30" t="s">
        <v>2894</v>
      </c>
      <c r="C1694" s="31">
        <v>11451.2</v>
      </c>
      <c r="D1694" s="31">
        <v>6860</v>
      </c>
      <c r="E1694" s="31">
        <v>11240.8</v>
      </c>
      <c r="F1694" s="31">
        <v>0</v>
      </c>
      <c r="G1694" s="67">
        <v>0</v>
      </c>
      <c r="H1694" s="29" t="s">
        <v>3436</v>
      </c>
    </row>
    <row r="1695" spans="1:8" x14ac:dyDescent="0.25">
      <c r="A1695" s="30" t="s">
        <v>2895</v>
      </c>
      <c r="B1695" s="30" t="s">
        <v>2896</v>
      </c>
      <c r="C1695" s="31">
        <v>0</v>
      </c>
      <c r="D1695" s="31">
        <v>0</v>
      </c>
      <c r="E1695" s="31">
        <v>0</v>
      </c>
      <c r="F1695" s="31">
        <v>0</v>
      </c>
      <c r="G1695" s="67">
        <v>0</v>
      </c>
      <c r="H1695" s="29"/>
    </row>
    <row r="1696" spans="1:8" x14ac:dyDescent="0.25">
      <c r="A1696" s="30" t="s">
        <v>2897</v>
      </c>
      <c r="B1696" s="30" t="s">
        <v>2898</v>
      </c>
      <c r="C1696" s="31">
        <v>3386313.24</v>
      </c>
      <c r="D1696" s="31">
        <v>1683144.99</v>
      </c>
      <c r="E1696" s="31">
        <v>3017387.29</v>
      </c>
      <c r="F1696" s="31">
        <v>3652679</v>
      </c>
      <c r="G1696" s="67">
        <v>3652679</v>
      </c>
      <c r="H1696" s="29"/>
    </row>
    <row r="1697" spans="1:8" x14ac:dyDescent="0.25">
      <c r="A1697" s="30" t="s">
        <v>2899</v>
      </c>
      <c r="B1697" s="30" t="s">
        <v>2900</v>
      </c>
      <c r="C1697" s="31">
        <v>83214.42</v>
      </c>
      <c r="D1697" s="31">
        <v>38462.47</v>
      </c>
      <c r="E1697" s="31">
        <v>69042.039999999994</v>
      </c>
      <c r="F1697" s="31">
        <v>75000</v>
      </c>
      <c r="G1697" s="67">
        <v>75000</v>
      </c>
      <c r="H1697" s="29"/>
    </row>
    <row r="1698" spans="1:8" x14ac:dyDescent="0.25">
      <c r="A1698" s="30" t="s">
        <v>2901</v>
      </c>
      <c r="B1698" s="30" t="s">
        <v>2902</v>
      </c>
      <c r="C1698" s="31">
        <v>0</v>
      </c>
      <c r="D1698" s="31">
        <v>0</v>
      </c>
      <c r="E1698" s="31">
        <v>0</v>
      </c>
      <c r="F1698" s="31">
        <v>0</v>
      </c>
      <c r="G1698" s="67">
        <v>0</v>
      </c>
      <c r="H1698" s="29"/>
    </row>
    <row r="1699" spans="1:8" x14ac:dyDescent="0.25">
      <c r="A1699" s="30" t="s">
        <v>2903</v>
      </c>
      <c r="B1699" s="30" t="s">
        <v>2904</v>
      </c>
      <c r="C1699" s="31">
        <v>0</v>
      </c>
      <c r="D1699" s="31">
        <v>0</v>
      </c>
      <c r="E1699" s="31">
        <v>0</v>
      </c>
      <c r="F1699" s="31">
        <v>0</v>
      </c>
      <c r="G1699" s="67">
        <v>0</v>
      </c>
      <c r="H1699" s="29"/>
    </row>
    <row r="1700" spans="1:8" x14ac:dyDescent="0.25">
      <c r="A1700" s="30" t="s">
        <v>2905</v>
      </c>
      <c r="B1700" s="30" t="s">
        <v>2906</v>
      </c>
      <c r="C1700" s="31">
        <v>8925.25</v>
      </c>
      <c r="D1700" s="31">
        <v>2492.91</v>
      </c>
      <c r="E1700" s="31">
        <v>2546.8200000000002</v>
      </c>
      <c r="F1700" s="31">
        <v>3000</v>
      </c>
      <c r="G1700" s="67">
        <v>3000</v>
      </c>
      <c r="H1700" s="29"/>
    </row>
    <row r="1701" spans="1:8" x14ac:dyDescent="0.25">
      <c r="A1701" s="30" t="s">
        <v>2907</v>
      </c>
      <c r="B1701" s="30" t="s">
        <v>2908</v>
      </c>
      <c r="C1701" s="31">
        <v>0</v>
      </c>
      <c r="D1701" s="31">
        <v>810</v>
      </c>
      <c r="E1701" s="31">
        <v>3006</v>
      </c>
      <c r="F1701" s="31">
        <v>0</v>
      </c>
      <c r="G1701" s="67">
        <v>0</v>
      </c>
      <c r="H1701" s="29"/>
    </row>
    <row r="1702" spans="1:8" x14ac:dyDescent="0.25">
      <c r="A1702" s="30" t="s">
        <v>2909</v>
      </c>
      <c r="B1702" s="30" t="s">
        <v>2910</v>
      </c>
      <c r="C1702" s="31">
        <v>300</v>
      </c>
      <c r="D1702" s="31">
        <v>500.61</v>
      </c>
      <c r="E1702" s="31">
        <v>3982.07</v>
      </c>
      <c r="F1702" s="31">
        <v>0</v>
      </c>
      <c r="G1702" s="67">
        <v>0</v>
      </c>
      <c r="H1702" s="29"/>
    </row>
    <row r="1703" spans="1:8" x14ac:dyDescent="0.25">
      <c r="A1703" s="30" t="s">
        <v>2911</v>
      </c>
      <c r="B1703" s="30" t="s">
        <v>2912</v>
      </c>
      <c r="C1703" s="31">
        <v>68088.639999999999</v>
      </c>
      <c r="D1703" s="31">
        <v>12593.43</v>
      </c>
      <c r="E1703" s="31">
        <v>26016.42</v>
      </c>
      <c r="F1703" s="31">
        <v>10000</v>
      </c>
      <c r="G1703" s="67">
        <v>10000</v>
      </c>
      <c r="H1703" s="29"/>
    </row>
    <row r="1704" spans="1:8" x14ac:dyDescent="0.25">
      <c r="A1704" s="30" t="s">
        <v>2913</v>
      </c>
      <c r="B1704" s="30" t="s">
        <v>2914</v>
      </c>
      <c r="C1704" s="31">
        <v>4790</v>
      </c>
      <c r="D1704" s="31">
        <v>2850</v>
      </c>
      <c r="E1704" s="31">
        <v>4750</v>
      </c>
      <c r="F1704" s="31">
        <v>3500</v>
      </c>
      <c r="G1704" s="67">
        <v>3500</v>
      </c>
      <c r="H1704" s="29"/>
    </row>
    <row r="1705" spans="1:8" x14ac:dyDescent="0.25">
      <c r="A1705" s="30" t="s">
        <v>2915</v>
      </c>
      <c r="B1705" s="30" t="s">
        <v>2916</v>
      </c>
      <c r="C1705" s="31">
        <v>8600</v>
      </c>
      <c r="D1705" s="31">
        <v>2440</v>
      </c>
      <c r="E1705" s="31">
        <v>4280</v>
      </c>
      <c r="F1705" s="31">
        <v>3500</v>
      </c>
      <c r="G1705" s="67">
        <v>3500</v>
      </c>
      <c r="H1705" s="29"/>
    </row>
    <row r="1706" spans="1:8" x14ac:dyDescent="0.25">
      <c r="A1706" s="30" t="s">
        <v>2917</v>
      </c>
      <c r="B1706" s="30" t="s">
        <v>2918</v>
      </c>
      <c r="C1706" s="31">
        <v>20900</v>
      </c>
      <c r="D1706" s="31">
        <v>5800</v>
      </c>
      <c r="E1706" s="31">
        <v>10800</v>
      </c>
      <c r="F1706" s="31">
        <v>12000</v>
      </c>
      <c r="G1706" s="67">
        <v>12000</v>
      </c>
      <c r="H1706" s="29"/>
    </row>
    <row r="1707" spans="1:8" x14ac:dyDescent="0.25">
      <c r="A1707" s="30" t="s">
        <v>2919</v>
      </c>
      <c r="B1707" s="30" t="s">
        <v>2920</v>
      </c>
      <c r="C1707" s="31">
        <v>22017.8</v>
      </c>
      <c r="D1707" s="31">
        <v>7942.2</v>
      </c>
      <c r="E1707" s="31">
        <v>13742.2</v>
      </c>
      <c r="F1707" s="31">
        <v>10000</v>
      </c>
      <c r="G1707" s="67">
        <v>10000</v>
      </c>
      <c r="H1707" s="29"/>
    </row>
    <row r="1708" spans="1:8" x14ac:dyDescent="0.25">
      <c r="A1708" s="30" t="s">
        <v>2921</v>
      </c>
      <c r="B1708" s="30" t="s">
        <v>2922</v>
      </c>
      <c r="C1708" s="31">
        <v>160</v>
      </c>
      <c r="D1708" s="31">
        <v>120</v>
      </c>
      <c r="E1708" s="31">
        <v>200</v>
      </c>
      <c r="F1708" s="31">
        <v>0</v>
      </c>
      <c r="G1708" s="67">
        <v>0</v>
      </c>
      <c r="H1708" s="29"/>
    </row>
    <row r="1709" spans="1:8" x14ac:dyDescent="0.25">
      <c r="A1709" s="30" t="s">
        <v>2923</v>
      </c>
      <c r="B1709" s="30" t="s">
        <v>2924</v>
      </c>
      <c r="C1709" s="31">
        <v>0</v>
      </c>
      <c r="D1709" s="31">
        <v>0</v>
      </c>
      <c r="E1709" s="31">
        <v>0</v>
      </c>
      <c r="F1709" s="31">
        <v>0</v>
      </c>
      <c r="G1709" s="67">
        <v>0</v>
      </c>
      <c r="H1709" s="29"/>
    </row>
    <row r="1710" spans="1:8" x14ac:dyDescent="0.25">
      <c r="A1710" s="30" t="s">
        <v>2925</v>
      </c>
      <c r="B1710" s="30" t="s">
        <v>2926</v>
      </c>
      <c r="C1710" s="31">
        <v>0</v>
      </c>
      <c r="D1710" s="31">
        <v>0</v>
      </c>
      <c r="E1710" s="31">
        <v>0</v>
      </c>
      <c r="F1710" s="31">
        <v>0</v>
      </c>
      <c r="G1710" s="67">
        <v>0</v>
      </c>
      <c r="H1710" s="29"/>
    </row>
    <row r="1711" spans="1:8" x14ac:dyDescent="0.25">
      <c r="A1711" s="30" t="s">
        <v>2927</v>
      </c>
      <c r="B1711" s="30" t="s">
        <v>64</v>
      </c>
      <c r="C1711" s="31">
        <v>236.69</v>
      </c>
      <c r="D1711" s="31">
        <v>0</v>
      </c>
      <c r="E1711" s="31">
        <v>0</v>
      </c>
      <c r="F1711" s="31">
        <v>0</v>
      </c>
      <c r="G1711" s="67">
        <v>0</v>
      </c>
      <c r="H1711" s="29"/>
    </row>
    <row r="1712" spans="1:8" x14ac:dyDescent="0.25">
      <c r="A1712" s="23" t="s">
        <v>2710</v>
      </c>
      <c r="B1712" s="23" t="s">
        <v>2</v>
      </c>
      <c r="C1712" s="32">
        <v>4930157.33</v>
      </c>
      <c r="D1712" s="32">
        <v>2146187.5099999998</v>
      </c>
      <c r="E1712" s="32">
        <f>SUM(E1693:E1711)</f>
        <v>3830696.44</v>
      </c>
      <c r="F1712" s="32">
        <f>SUM(F1693:F1711)</f>
        <v>4430656</v>
      </c>
      <c r="G1712" s="32">
        <f>SUM(G1693:G1711)</f>
        <v>4430656</v>
      </c>
      <c r="H1712" s="29"/>
    </row>
    <row r="1713" spans="1:8" x14ac:dyDescent="0.25">
      <c r="A1713" s="23" t="s">
        <v>2</v>
      </c>
      <c r="B1713" s="23" t="s">
        <v>2</v>
      </c>
      <c r="C1713" s="23" t="s">
        <v>2</v>
      </c>
      <c r="D1713" s="23" t="s">
        <v>2</v>
      </c>
      <c r="E1713" s="23"/>
      <c r="F1713" s="23" t="s">
        <v>2</v>
      </c>
      <c r="G1713" s="23" t="s">
        <v>2</v>
      </c>
      <c r="H1713" s="29"/>
    </row>
    <row r="1714" spans="1:8" ht="24" x14ac:dyDescent="0.25">
      <c r="A1714" s="23" t="s">
        <v>2721</v>
      </c>
      <c r="B1714" s="23" t="s">
        <v>2</v>
      </c>
      <c r="C1714" s="32">
        <v>4930157.33</v>
      </c>
      <c r="D1714" s="32">
        <v>2146187.5099999998</v>
      </c>
      <c r="E1714" s="32">
        <f>E1712</f>
        <v>3830696.44</v>
      </c>
      <c r="F1714" s="32">
        <f>F1712</f>
        <v>4430656</v>
      </c>
      <c r="G1714" s="32">
        <f>G1712</f>
        <v>4430656</v>
      </c>
      <c r="H1714" s="29"/>
    </row>
    <row r="1715" spans="1:8" x14ac:dyDescent="0.25">
      <c r="A1715" s="23" t="s">
        <v>2</v>
      </c>
      <c r="B1715" s="23" t="s">
        <v>2</v>
      </c>
      <c r="C1715" s="23" t="s">
        <v>2</v>
      </c>
      <c r="D1715" s="23" t="s">
        <v>2</v>
      </c>
      <c r="E1715" s="23"/>
      <c r="F1715" s="23" t="s">
        <v>2</v>
      </c>
      <c r="G1715" s="23" t="s">
        <v>2</v>
      </c>
      <c r="H1715" s="29"/>
    </row>
    <row r="1716" spans="1:8" x14ac:dyDescent="0.25">
      <c r="A1716" s="30" t="s">
        <v>2928</v>
      </c>
      <c r="B1716" s="30" t="s">
        <v>2584</v>
      </c>
      <c r="C1716" s="31">
        <v>3636.94</v>
      </c>
      <c r="D1716" s="31">
        <v>10674.46</v>
      </c>
      <c r="E1716" s="31">
        <v>13560.62</v>
      </c>
      <c r="F1716" s="31">
        <v>0</v>
      </c>
      <c r="G1716" s="31">
        <v>10000</v>
      </c>
      <c r="H1716" s="29"/>
    </row>
    <row r="1717" spans="1:8" x14ac:dyDescent="0.25">
      <c r="A1717" s="30" t="s">
        <v>2929</v>
      </c>
      <c r="B1717" s="30" t="s">
        <v>2930</v>
      </c>
      <c r="C1717" s="31">
        <v>594</v>
      </c>
      <c r="D1717" s="31">
        <v>486</v>
      </c>
      <c r="E1717" s="31">
        <v>801.09</v>
      </c>
      <c r="F1717" s="31">
        <v>0</v>
      </c>
      <c r="G1717" s="31">
        <v>750</v>
      </c>
      <c r="H1717" s="29"/>
    </row>
    <row r="1718" spans="1:8" x14ac:dyDescent="0.25">
      <c r="A1718" s="30" t="s">
        <v>2931</v>
      </c>
      <c r="B1718" s="30" t="s">
        <v>2932</v>
      </c>
      <c r="C1718" s="31">
        <v>0</v>
      </c>
      <c r="D1718" s="31">
        <v>0</v>
      </c>
      <c r="E1718" s="31">
        <v>0</v>
      </c>
      <c r="F1718" s="31">
        <v>0</v>
      </c>
      <c r="G1718" s="31">
        <v>0</v>
      </c>
      <c r="H1718" s="29"/>
    </row>
    <row r="1719" spans="1:8" x14ac:dyDescent="0.25">
      <c r="A1719" s="30" t="s">
        <v>2933</v>
      </c>
      <c r="B1719" s="30" t="s">
        <v>2934</v>
      </c>
      <c r="C1719" s="31">
        <v>0</v>
      </c>
      <c r="D1719" s="31">
        <v>1413.57</v>
      </c>
      <c r="E1719" s="31">
        <v>10530.92</v>
      </c>
      <c r="F1719" s="31">
        <v>0</v>
      </c>
      <c r="G1719" s="31">
        <v>0</v>
      </c>
      <c r="H1719" s="29"/>
    </row>
    <row r="1720" spans="1:8" x14ac:dyDescent="0.25">
      <c r="A1720" s="30"/>
      <c r="B1720" s="30"/>
      <c r="C1720" s="31"/>
      <c r="D1720" s="31"/>
      <c r="E1720" s="31"/>
      <c r="F1720" s="31"/>
      <c r="G1720" s="31"/>
      <c r="H1720" s="29"/>
    </row>
    <row r="1721" spans="1:8" x14ac:dyDescent="0.25">
      <c r="A1721" s="23" t="s">
        <v>2175</v>
      </c>
      <c r="B1721" s="23" t="s">
        <v>2</v>
      </c>
      <c r="C1721" s="29"/>
      <c r="D1721" s="29"/>
      <c r="E1721" s="29"/>
      <c r="F1721" s="29"/>
      <c r="G1721" s="29"/>
      <c r="H1721" s="29"/>
    </row>
    <row r="1722" spans="1:8" x14ac:dyDescent="0.25">
      <c r="A1722" s="23" t="s">
        <v>2176</v>
      </c>
      <c r="B1722" s="23" t="s">
        <v>2</v>
      </c>
      <c r="C1722" s="29"/>
      <c r="D1722" s="29"/>
      <c r="E1722" s="29"/>
      <c r="F1722" s="29"/>
      <c r="G1722" s="29"/>
      <c r="H1722" s="29"/>
    </row>
    <row r="1723" spans="1:8" x14ac:dyDescent="0.25">
      <c r="A1723" s="30" t="s">
        <v>2935</v>
      </c>
      <c r="B1723" s="30" t="s">
        <v>2409</v>
      </c>
      <c r="C1723" s="31">
        <v>2036.3</v>
      </c>
      <c r="D1723" s="31">
        <v>1804.67</v>
      </c>
      <c r="E1723" s="31">
        <v>7429.48</v>
      </c>
      <c r="F1723" s="31">
        <v>0</v>
      </c>
      <c r="G1723" s="31">
        <v>7000</v>
      </c>
      <c r="H1723" s="29"/>
    </row>
    <row r="1724" spans="1:8" x14ac:dyDescent="0.25">
      <c r="A1724" s="30" t="s">
        <v>2936</v>
      </c>
      <c r="B1724" s="30" t="s">
        <v>2703</v>
      </c>
      <c r="C1724" s="31">
        <v>0</v>
      </c>
      <c r="D1724" s="31">
        <v>0</v>
      </c>
      <c r="E1724" s="31">
        <v>0</v>
      </c>
      <c r="F1724" s="31">
        <v>0</v>
      </c>
      <c r="G1724" s="31">
        <v>0</v>
      </c>
      <c r="H1724" s="29"/>
    </row>
    <row r="1725" spans="1:8" x14ac:dyDescent="0.25">
      <c r="A1725" s="30" t="s">
        <v>2937</v>
      </c>
      <c r="B1725" s="30" t="s">
        <v>2938</v>
      </c>
      <c r="C1725" s="31">
        <v>3.24</v>
      </c>
      <c r="D1725" s="31">
        <v>2.33</v>
      </c>
      <c r="E1725" s="31">
        <v>3.56</v>
      </c>
      <c r="F1725" s="31">
        <v>0</v>
      </c>
      <c r="G1725" s="31">
        <v>0</v>
      </c>
      <c r="H1725" s="29"/>
    </row>
    <row r="1726" spans="1:8" ht="24" x14ac:dyDescent="0.25">
      <c r="A1726" s="23" t="s">
        <v>2179</v>
      </c>
      <c r="B1726" s="23" t="s">
        <v>2</v>
      </c>
      <c r="C1726" s="32">
        <v>2039.54</v>
      </c>
      <c r="D1726" s="32">
        <v>1807</v>
      </c>
      <c r="E1726" s="32">
        <f>SUM(E1723:E1725)</f>
        <v>7433.04</v>
      </c>
      <c r="F1726" s="32">
        <f>SUM(F1723:F1725)</f>
        <v>0</v>
      </c>
      <c r="G1726" s="32">
        <f>SUM(G1723:G1725)</f>
        <v>7000</v>
      </c>
      <c r="H1726" s="29"/>
    </row>
    <row r="1727" spans="1:8" x14ac:dyDescent="0.25">
      <c r="A1727" s="23" t="s">
        <v>2</v>
      </c>
      <c r="B1727" s="23" t="s">
        <v>2</v>
      </c>
      <c r="C1727" s="23" t="s">
        <v>2</v>
      </c>
      <c r="D1727" s="23" t="s">
        <v>2</v>
      </c>
      <c r="E1727" s="23"/>
      <c r="F1727" s="23" t="s">
        <v>2</v>
      </c>
      <c r="G1727" s="23" t="s">
        <v>2</v>
      </c>
      <c r="H1727" s="29"/>
    </row>
    <row r="1728" spans="1:8" ht="24" x14ac:dyDescent="0.25">
      <c r="A1728" s="23" t="s">
        <v>2581</v>
      </c>
      <c r="B1728" s="23" t="s">
        <v>2</v>
      </c>
      <c r="C1728" s="29"/>
      <c r="D1728" s="29"/>
      <c r="E1728" s="29"/>
      <c r="F1728" s="29"/>
      <c r="G1728" s="29"/>
      <c r="H1728" s="29"/>
    </row>
    <row r="1729" spans="1:8" x14ac:dyDescent="0.25">
      <c r="A1729" s="30" t="s">
        <v>2939</v>
      </c>
      <c r="B1729" s="30" t="s">
        <v>2940</v>
      </c>
      <c r="C1729" s="31">
        <v>840.15</v>
      </c>
      <c r="D1729" s="31">
        <v>0</v>
      </c>
      <c r="E1729" s="31">
        <v>1623.5</v>
      </c>
      <c r="F1729" s="31">
        <v>0</v>
      </c>
      <c r="G1729" s="31">
        <v>0</v>
      </c>
      <c r="H1729" s="29"/>
    </row>
    <row r="1730" spans="1:8" x14ac:dyDescent="0.25">
      <c r="A1730" s="30" t="s">
        <v>2941</v>
      </c>
      <c r="B1730" s="30" t="s">
        <v>2942</v>
      </c>
      <c r="C1730" s="31">
        <v>0</v>
      </c>
      <c r="D1730" s="31">
        <v>0</v>
      </c>
      <c r="E1730" s="31">
        <v>0</v>
      </c>
      <c r="F1730" s="31">
        <v>0</v>
      </c>
      <c r="G1730" s="31">
        <v>0</v>
      </c>
      <c r="H1730" s="29"/>
    </row>
    <row r="1731" spans="1:8" x14ac:dyDescent="0.25">
      <c r="A1731" s="30" t="s">
        <v>2943</v>
      </c>
      <c r="B1731" s="30" t="s">
        <v>2944</v>
      </c>
      <c r="C1731" s="31">
        <v>0</v>
      </c>
      <c r="D1731" s="31">
        <v>0</v>
      </c>
      <c r="E1731" s="31">
        <v>0</v>
      </c>
      <c r="F1731" s="31">
        <v>0</v>
      </c>
      <c r="G1731" s="31">
        <v>0</v>
      </c>
      <c r="H1731" s="29"/>
    </row>
    <row r="1732" spans="1:8" ht="24" x14ac:dyDescent="0.25">
      <c r="A1732" s="23" t="s">
        <v>2585</v>
      </c>
      <c r="B1732" s="23" t="s">
        <v>2</v>
      </c>
      <c r="C1732" s="32">
        <v>840.15</v>
      </c>
      <c r="D1732" s="32">
        <v>0</v>
      </c>
      <c r="E1732" s="32">
        <f>SUM(E1729:E1731)</f>
        <v>1623.5</v>
      </c>
      <c r="F1732" s="32">
        <f>SUM(F1729:F1731)</f>
        <v>0</v>
      </c>
      <c r="G1732" s="32">
        <f>SUM(G1729:G1731)</f>
        <v>0</v>
      </c>
      <c r="H1732" s="29"/>
    </row>
    <row r="1733" spans="1:8" x14ac:dyDescent="0.25">
      <c r="A1733" s="23" t="s">
        <v>2</v>
      </c>
      <c r="B1733" s="23" t="s">
        <v>2</v>
      </c>
      <c r="C1733" s="23" t="s">
        <v>2</v>
      </c>
      <c r="D1733" s="23" t="s">
        <v>2</v>
      </c>
      <c r="E1733" s="23"/>
      <c r="F1733" s="23" t="s">
        <v>2</v>
      </c>
      <c r="G1733" s="23" t="s">
        <v>2</v>
      </c>
      <c r="H1733" s="29"/>
    </row>
    <row r="1734" spans="1:8" ht="24" x14ac:dyDescent="0.25">
      <c r="A1734" s="23" t="s">
        <v>2180</v>
      </c>
      <c r="B1734" s="23" t="s">
        <v>2</v>
      </c>
      <c r="C1734" s="32">
        <v>2879.69</v>
      </c>
      <c r="D1734" s="32">
        <v>1807</v>
      </c>
      <c r="E1734" s="32">
        <f>E1726+E1732</f>
        <v>9056.5400000000009</v>
      </c>
      <c r="F1734" s="32">
        <f>F1732+F1726</f>
        <v>0</v>
      </c>
      <c r="G1734" s="32">
        <f>G1732+G1726</f>
        <v>7000</v>
      </c>
      <c r="H1734" s="29"/>
    </row>
    <row r="1735" spans="1:8" x14ac:dyDescent="0.25">
      <c r="A1735" s="23" t="s">
        <v>2</v>
      </c>
      <c r="B1735" s="23" t="s">
        <v>2</v>
      </c>
      <c r="C1735" s="23" t="s">
        <v>2</v>
      </c>
      <c r="D1735" s="23" t="s">
        <v>2</v>
      </c>
      <c r="E1735" s="23"/>
      <c r="F1735" s="23" t="s">
        <v>2</v>
      </c>
      <c r="G1735" s="23" t="s">
        <v>2</v>
      </c>
      <c r="H1735" s="29"/>
    </row>
    <row r="1736" spans="1:8" x14ac:dyDescent="0.25">
      <c r="A1736" s="23" t="s">
        <v>2945</v>
      </c>
      <c r="B1736" s="23" t="s">
        <v>2</v>
      </c>
      <c r="C1736" s="29"/>
      <c r="D1736" s="29"/>
      <c r="E1736" s="29"/>
      <c r="F1736" s="29"/>
      <c r="G1736" s="29"/>
      <c r="H1736" s="29"/>
    </row>
    <row r="1737" spans="1:8" x14ac:dyDescent="0.25">
      <c r="A1737" s="23" t="s">
        <v>2532</v>
      </c>
      <c r="B1737" s="23" t="s">
        <v>2</v>
      </c>
      <c r="C1737" s="29"/>
      <c r="D1737" s="29"/>
      <c r="E1737" s="29"/>
      <c r="F1737" s="29"/>
      <c r="G1737" s="29"/>
      <c r="H1737" s="29"/>
    </row>
    <row r="1738" spans="1:8" x14ac:dyDescent="0.25">
      <c r="A1738" s="30" t="s">
        <v>2946</v>
      </c>
      <c r="B1738" s="30" t="s">
        <v>2947</v>
      </c>
      <c r="C1738" s="31">
        <v>0</v>
      </c>
      <c r="D1738" s="31">
        <v>0</v>
      </c>
      <c r="E1738" s="31">
        <v>0</v>
      </c>
      <c r="F1738" s="31">
        <v>0</v>
      </c>
      <c r="G1738" s="31">
        <v>0</v>
      </c>
      <c r="H1738" s="29"/>
    </row>
    <row r="1739" spans="1:8" ht="24" x14ac:dyDescent="0.25">
      <c r="A1739" s="23" t="s">
        <v>2537</v>
      </c>
      <c r="B1739" s="23" t="s">
        <v>2</v>
      </c>
      <c r="C1739" s="32">
        <v>0</v>
      </c>
      <c r="D1739" s="32">
        <v>0</v>
      </c>
      <c r="E1739" s="32">
        <f>E1738</f>
        <v>0</v>
      </c>
      <c r="F1739" s="32">
        <f>SUM(F1738)</f>
        <v>0</v>
      </c>
      <c r="G1739" s="32">
        <f>SUM(G1738)</f>
        <v>0</v>
      </c>
      <c r="H1739" s="29"/>
    </row>
    <row r="1740" spans="1:8" x14ac:dyDescent="0.25">
      <c r="A1740" s="23" t="s">
        <v>2</v>
      </c>
      <c r="B1740" s="23" t="s">
        <v>2</v>
      </c>
      <c r="C1740" s="23" t="s">
        <v>2</v>
      </c>
      <c r="D1740" s="23" t="s">
        <v>2</v>
      </c>
      <c r="E1740" s="23"/>
      <c r="F1740" s="23" t="s">
        <v>2</v>
      </c>
      <c r="G1740" s="23" t="s">
        <v>2</v>
      </c>
      <c r="H1740" s="29"/>
    </row>
    <row r="1741" spans="1:8" ht="27.75" customHeight="1" x14ac:dyDescent="0.25">
      <c r="A1741" s="23" t="s">
        <v>2948</v>
      </c>
      <c r="B1741" s="23" t="s">
        <v>2</v>
      </c>
      <c r="C1741" s="29"/>
      <c r="D1741" s="29"/>
      <c r="E1741" s="29"/>
      <c r="F1741" s="29"/>
      <c r="G1741" s="29"/>
      <c r="H1741" s="29"/>
    </row>
    <row r="1742" spans="1:8" x14ac:dyDescent="0.25">
      <c r="A1742" s="30" t="s">
        <v>2949</v>
      </c>
      <c r="B1742" s="30" t="s">
        <v>2539</v>
      </c>
      <c r="C1742" s="31">
        <v>0</v>
      </c>
      <c r="D1742" s="31">
        <v>0</v>
      </c>
      <c r="E1742" s="31">
        <v>0</v>
      </c>
      <c r="F1742" s="31">
        <v>0</v>
      </c>
      <c r="G1742" s="31">
        <v>0</v>
      </c>
      <c r="H1742" s="29"/>
    </row>
    <row r="1743" spans="1:8" ht="24.75" customHeight="1" x14ac:dyDescent="0.25">
      <c r="A1743" s="23" t="s">
        <v>2950</v>
      </c>
      <c r="B1743" s="23" t="s">
        <v>2</v>
      </c>
      <c r="C1743" s="32">
        <v>0</v>
      </c>
      <c r="D1743" s="32">
        <v>0</v>
      </c>
      <c r="E1743" s="32">
        <f>E1742</f>
        <v>0</v>
      </c>
      <c r="F1743" s="32">
        <f>SUM(F1742)</f>
        <v>0</v>
      </c>
      <c r="G1743" s="32">
        <f>SUM(G1742)</f>
        <v>0</v>
      </c>
      <c r="H1743" s="29"/>
    </row>
    <row r="1744" spans="1:8" x14ac:dyDescent="0.25">
      <c r="A1744" s="30"/>
      <c r="B1744" s="30"/>
      <c r="C1744" s="31"/>
      <c r="D1744" s="31"/>
      <c r="E1744" s="31"/>
      <c r="F1744" s="31"/>
      <c r="G1744" s="31"/>
      <c r="H1744" s="29"/>
    </row>
    <row r="1745" spans="1:8" x14ac:dyDescent="0.25">
      <c r="A1745" s="23" t="s">
        <v>2951</v>
      </c>
      <c r="B1745" s="23" t="s">
        <v>2</v>
      </c>
      <c r="C1745" s="32">
        <v>0</v>
      </c>
      <c r="D1745" s="32">
        <v>0</v>
      </c>
      <c r="E1745" s="32">
        <f>E1743+E1739</f>
        <v>0</v>
      </c>
      <c r="F1745" s="32">
        <f>F1743+F1739</f>
        <v>0</v>
      </c>
      <c r="G1745" s="32">
        <f>G1743+G1739</f>
        <v>0</v>
      </c>
      <c r="H1745" s="29"/>
    </row>
    <row r="1746" spans="1:8" x14ac:dyDescent="0.25">
      <c r="A1746" s="23" t="s">
        <v>2</v>
      </c>
      <c r="B1746" s="23" t="s">
        <v>2</v>
      </c>
      <c r="C1746" s="23" t="s">
        <v>2</v>
      </c>
      <c r="D1746" s="23" t="s">
        <v>2</v>
      </c>
      <c r="E1746" s="23"/>
      <c r="F1746" s="23" t="s">
        <v>2</v>
      </c>
      <c r="G1746" s="23" t="s">
        <v>2</v>
      </c>
      <c r="H1746" s="29"/>
    </row>
    <row r="1747" spans="1:8" x14ac:dyDescent="0.25">
      <c r="A1747" s="23" t="s">
        <v>2553</v>
      </c>
      <c r="B1747" s="23" t="s">
        <v>2</v>
      </c>
      <c r="C1747" s="29"/>
      <c r="D1747" s="29"/>
      <c r="E1747" s="29"/>
      <c r="F1747" s="29"/>
      <c r="G1747" s="29"/>
      <c r="H1747" s="29"/>
    </row>
    <row r="1748" spans="1:8" x14ac:dyDescent="0.25">
      <c r="A1748" s="30" t="s">
        <v>2952</v>
      </c>
      <c r="B1748" s="30" t="s">
        <v>2953</v>
      </c>
      <c r="C1748" s="31">
        <v>0</v>
      </c>
      <c r="D1748" s="31">
        <v>0</v>
      </c>
      <c r="E1748" s="31">
        <v>0</v>
      </c>
      <c r="F1748" s="31">
        <v>0</v>
      </c>
      <c r="G1748" s="58">
        <v>0</v>
      </c>
      <c r="H1748" s="29" t="s">
        <v>3437</v>
      </c>
    </row>
    <row r="1749" spans="1:8" x14ac:dyDescent="0.25">
      <c r="A1749" s="30" t="s">
        <v>2954</v>
      </c>
      <c r="B1749" s="30" t="s">
        <v>2955</v>
      </c>
      <c r="C1749" s="31">
        <v>0</v>
      </c>
      <c r="D1749" s="31">
        <v>0</v>
      </c>
      <c r="E1749" s="31">
        <v>0</v>
      </c>
      <c r="F1749" s="31">
        <v>0</v>
      </c>
      <c r="G1749" s="58">
        <v>0</v>
      </c>
      <c r="H1749" s="29"/>
    </row>
    <row r="1750" spans="1:8" x14ac:dyDescent="0.25">
      <c r="A1750" s="30" t="s">
        <v>2956</v>
      </c>
      <c r="B1750" s="30" t="s">
        <v>2957</v>
      </c>
      <c r="C1750" s="31">
        <v>0</v>
      </c>
      <c r="D1750" s="31">
        <v>0</v>
      </c>
      <c r="E1750" s="31">
        <v>0</v>
      </c>
      <c r="F1750" s="31">
        <v>0</v>
      </c>
      <c r="G1750" s="58">
        <v>0</v>
      </c>
      <c r="H1750" s="29"/>
    </row>
    <row r="1751" spans="1:8" x14ac:dyDescent="0.25">
      <c r="A1751" s="30" t="s">
        <v>2958</v>
      </c>
      <c r="B1751" s="30" t="s">
        <v>2959</v>
      </c>
      <c r="C1751" s="31">
        <v>0</v>
      </c>
      <c r="D1751" s="31">
        <v>0</v>
      </c>
      <c r="E1751" s="31">
        <v>0</v>
      </c>
      <c r="F1751" s="31">
        <v>0</v>
      </c>
      <c r="G1751" s="58">
        <v>0</v>
      </c>
      <c r="H1751" s="29"/>
    </row>
    <row r="1752" spans="1:8" x14ac:dyDescent="0.25">
      <c r="A1752" s="30" t="s">
        <v>2960</v>
      </c>
      <c r="B1752" s="30" t="s">
        <v>2961</v>
      </c>
      <c r="C1752" s="31">
        <v>0</v>
      </c>
      <c r="D1752" s="31">
        <v>0</v>
      </c>
      <c r="E1752" s="31">
        <v>0</v>
      </c>
      <c r="F1752" s="31">
        <v>0</v>
      </c>
      <c r="G1752" s="58">
        <v>0</v>
      </c>
      <c r="H1752" s="29"/>
    </row>
    <row r="1753" spans="1:8" x14ac:dyDescent="0.25">
      <c r="A1753" s="30" t="s">
        <v>2962</v>
      </c>
      <c r="B1753" s="30" t="s">
        <v>2963</v>
      </c>
      <c r="C1753" s="31">
        <v>270</v>
      </c>
      <c r="D1753" s="31">
        <v>0</v>
      </c>
      <c r="E1753" s="31">
        <v>0</v>
      </c>
      <c r="F1753" s="31">
        <v>625000</v>
      </c>
      <c r="G1753" s="58">
        <v>0</v>
      </c>
      <c r="H1753" s="29"/>
    </row>
    <row r="1754" spans="1:8" x14ac:dyDescent="0.25">
      <c r="A1754" s="30" t="s">
        <v>2964</v>
      </c>
      <c r="B1754" s="30" t="s">
        <v>2965</v>
      </c>
      <c r="C1754" s="31">
        <v>0</v>
      </c>
      <c r="D1754" s="31">
        <v>0</v>
      </c>
      <c r="E1754" s="31">
        <v>0</v>
      </c>
      <c r="F1754" s="31">
        <v>0</v>
      </c>
      <c r="G1754" s="58">
        <v>0</v>
      </c>
      <c r="H1754" s="29"/>
    </row>
    <row r="1755" spans="1:8" ht="24" x14ac:dyDescent="0.25">
      <c r="A1755" s="23" t="s">
        <v>2556</v>
      </c>
      <c r="B1755" s="23" t="s">
        <v>2</v>
      </c>
      <c r="C1755" s="32">
        <v>270</v>
      </c>
      <c r="D1755" s="32">
        <v>0</v>
      </c>
      <c r="E1755" s="32">
        <f>SUM(E1748:E1754)</f>
        <v>0</v>
      </c>
      <c r="F1755" s="32">
        <f>SUM(F1748:F1754)</f>
        <v>625000</v>
      </c>
      <c r="G1755" s="32">
        <f>SUM(G1748:G1754)</f>
        <v>0</v>
      </c>
      <c r="H1755" s="29"/>
    </row>
    <row r="1756" spans="1:8" x14ac:dyDescent="0.25">
      <c r="A1756" s="23" t="s">
        <v>2</v>
      </c>
      <c r="B1756" s="23" t="s">
        <v>2</v>
      </c>
      <c r="C1756" s="23" t="s">
        <v>2</v>
      </c>
      <c r="D1756" s="23" t="s">
        <v>2</v>
      </c>
      <c r="E1756" s="23"/>
      <c r="F1756" s="23" t="s">
        <v>2</v>
      </c>
      <c r="G1756" s="23" t="s">
        <v>2</v>
      </c>
      <c r="H1756" s="29"/>
    </row>
    <row r="1757" spans="1:8" x14ac:dyDescent="0.25">
      <c r="A1757" s="30" t="s">
        <v>2966</v>
      </c>
      <c r="B1757" s="30" t="s">
        <v>64</v>
      </c>
      <c r="C1757" s="31">
        <v>0</v>
      </c>
      <c r="D1757" s="31">
        <v>0</v>
      </c>
      <c r="E1757" s="31">
        <v>0</v>
      </c>
      <c r="F1757" s="31">
        <v>0</v>
      </c>
      <c r="G1757" s="31">
        <v>0</v>
      </c>
      <c r="H1757" s="29"/>
    </row>
    <row r="1758" spans="1:8" x14ac:dyDescent="0.25">
      <c r="A1758" s="30" t="s">
        <v>2</v>
      </c>
      <c r="B1758" s="30" t="s">
        <v>2</v>
      </c>
      <c r="C1758" s="30" t="s">
        <v>2</v>
      </c>
      <c r="D1758" s="30" t="s">
        <v>2</v>
      </c>
      <c r="E1758" s="30"/>
      <c r="F1758" s="30" t="s">
        <v>2</v>
      </c>
      <c r="G1758" s="30" t="s">
        <v>2</v>
      </c>
      <c r="H1758" s="29"/>
    </row>
    <row r="1759" spans="1:8" x14ac:dyDescent="0.25">
      <c r="A1759" s="23" t="s">
        <v>1466</v>
      </c>
      <c r="B1759" s="23" t="s">
        <v>2</v>
      </c>
      <c r="C1759" s="32">
        <v>4945048.68</v>
      </c>
      <c r="D1759" s="32">
        <v>2167480.54</v>
      </c>
      <c r="E1759" s="32">
        <f>E1683+E1689+E1714+E1716+E1717+E1718+E1719+E1734+E1739+E1743+E1745+E1755+E1757</f>
        <v>3871557.61</v>
      </c>
      <c r="F1759" s="32">
        <f>F1757+F1755+F1745+F1734+SUM(F1716:F1719)+F1714+F1689+F1683</f>
        <v>5062568</v>
      </c>
      <c r="G1759" s="32">
        <f>G1757+G1755+G1745+G1734+SUM(G1716:G1719)+G1714+G1689+G1683</f>
        <v>4455318</v>
      </c>
      <c r="H1759" s="29"/>
    </row>
    <row r="1760" spans="1:8" x14ac:dyDescent="0.25">
      <c r="A1760" s="1" t="s">
        <v>740</v>
      </c>
      <c r="B1760" s="1"/>
      <c r="C1760" s="4"/>
      <c r="D1760" s="4"/>
      <c r="E1760" s="4"/>
      <c r="F1760" s="4"/>
      <c r="G1760" s="4"/>
    </row>
    <row r="1761" spans="1:7" x14ac:dyDescent="0.25">
      <c r="A1761" s="1" t="s">
        <v>1267</v>
      </c>
      <c r="B1761" s="1" t="s">
        <v>2</v>
      </c>
    </row>
    <row r="1762" spans="1:7" ht="15" customHeight="1" x14ac:dyDescent="0.25">
      <c r="A1762" s="1" t="s">
        <v>1268</v>
      </c>
      <c r="B1762" s="1" t="s">
        <v>2</v>
      </c>
    </row>
    <row r="1763" spans="1:7" ht="15" customHeight="1" x14ac:dyDescent="0.25">
      <c r="A1763" s="2" t="s">
        <v>1269</v>
      </c>
      <c r="B1763" s="2" t="s">
        <v>108</v>
      </c>
      <c r="C1763" s="3">
        <v>40930.51</v>
      </c>
      <c r="D1763" s="3">
        <v>19302.03</v>
      </c>
      <c r="E1763" s="3">
        <v>33496.730000000003</v>
      </c>
      <c r="F1763" s="3">
        <v>52447.51</v>
      </c>
      <c r="G1763" s="5">
        <f>F1763*1.055</f>
        <v>55332.123050000002</v>
      </c>
    </row>
    <row r="1764" spans="1:7" ht="15" customHeight="1" x14ac:dyDescent="0.25">
      <c r="A1764" s="2" t="s">
        <v>1270</v>
      </c>
      <c r="B1764" s="2" t="s">
        <v>652</v>
      </c>
      <c r="C1764" s="3">
        <v>80131.490000000005</v>
      </c>
      <c r="D1764" s="3">
        <v>35967.65</v>
      </c>
      <c r="E1764" s="3">
        <v>67924.33</v>
      </c>
      <c r="F1764" s="3">
        <v>108004.93</v>
      </c>
      <c r="G1764" s="5">
        <f t="shared" ref="G1764:G1769" si="50">F1764*1.055</f>
        <v>113945.20114999998</v>
      </c>
    </row>
    <row r="1765" spans="1:7" ht="15" customHeight="1" x14ac:dyDescent="0.25">
      <c r="A1765" s="2" t="s">
        <v>1271</v>
      </c>
      <c r="B1765" s="2" t="s">
        <v>29</v>
      </c>
      <c r="C1765" s="3">
        <v>32920.6</v>
      </c>
      <c r="D1765" s="3">
        <v>16782.88</v>
      </c>
      <c r="E1765" s="3">
        <v>29782.799999999999</v>
      </c>
      <c r="F1765" s="3">
        <v>46449.4</v>
      </c>
      <c r="G1765" s="5">
        <f t="shared" si="50"/>
        <v>49004.116999999998</v>
      </c>
    </row>
    <row r="1766" spans="1:7" ht="15" customHeight="1" x14ac:dyDescent="0.25">
      <c r="A1766" s="2" t="s">
        <v>1272</v>
      </c>
      <c r="B1766" s="2" t="s">
        <v>128</v>
      </c>
      <c r="C1766" s="3">
        <v>1087.3499999999999</v>
      </c>
      <c r="D1766" s="3">
        <v>385.98</v>
      </c>
      <c r="E1766" s="3">
        <v>714.62</v>
      </c>
      <c r="F1766" s="3">
        <v>1501.93</v>
      </c>
      <c r="G1766" s="5">
        <f t="shared" si="50"/>
        <v>1584.5361499999999</v>
      </c>
    </row>
    <row r="1767" spans="1:7" ht="15" customHeight="1" x14ac:dyDescent="0.25">
      <c r="A1767" s="2" t="s">
        <v>1273</v>
      </c>
      <c r="B1767" s="2" t="s">
        <v>33</v>
      </c>
      <c r="C1767" s="3">
        <v>16333.6</v>
      </c>
      <c r="D1767" s="3">
        <v>6656.79</v>
      </c>
      <c r="E1767" s="3">
        <v>12165.59</v>
      </c>
      <c r="F1767" s="3">
        <v>19152.05</v>
      </c>
      <c r="G1767" s="5">
        <f t="shared" si="50"/>
        <v>20205.41275</v>
      </c>
    </row>
    <row r="1768" spans="1:7" ht="15" customHeight="1" x14ac:dyDescent="0.25">
      <c r="A1768" s="2" t="s">
        <v>1274</v>
      </c>
      <c r="B1768" s="2" t="s">
        <v>11</v>
      </c>
      <c r="C1768" s="3">
        <v>9122.67</v>
      </c>
      <c r="D1768" s="3">
        <v>4163.29</v>
      </c>
      <c r="E1768" s="3">
        <v>7639.03</v>
      </c>
      <c r="F1768" s="3">
        <v>12274.61</v>
      </c>
      <c r="G1768" s="5">
        <f t="shared" si="50"/>
        <v>12949.71355</v>
      </c>
    </row>
    <row r="1769" spans="1:7" ht="15" customHeight="1" x14ac:dyDescent="0.25">
      <c r="A1769" s="2" t="s">
        <v>1275</v>
      </c>
      <c r="B1769" s="2" t="s">
        <v>13</v>
      </c>
      <c r="C1769" s="3">
        <v>178.04</v>
      </c>
      <c r="D1769" s="3">
        <v>117.16</v>
      </c>
      <c r="E1769" s="3">
        <v>215.23</v>
      </c>
      <c r="F1769" s="3">
        <v>235.87</v>
      </c>
      <c r="G1769" s="5">
        <f t="shared" si="50"/>
        <v>248.84285</v>
      </c>
    </row>
    <row r="1770" spans="1:7" ht="15" customHeight="1" x14ac:dyDescent="0.25">
      <c r="A1770" s="2" t="s">
        <v>1276</v>
      </c>
      <c r="B1770" s="2" t="s">
        <v>286</v>
      </c>
      <c r="C1770" s="3">
        <v>67</v>
      </c>
      <c r="D1770" s="3">
        <v>0</v>
      </c>
      <c r="E1770" s="3">
        <v>0</v>
      </c>
      <c r="F1770" s="3">
        <v>129.25</v>
      </c>
      <c r="G1770" s="5">
        <v>250</v>
      </c>
    </row>
    <row r="1771" spans="1:7" ht="15" customHeight="1" x14ac:dyDescent="0.25">
      <c r="A1771" s="2" t="s">
        <v>1277</v>
      </c>
      <c r="B1771" s="2" t="s">
        <v>1278</v>
      </c>
      <c r="C1771" s="3">
        <v>0</v>
      </c>
      <c r="D1771" s="3">
        <v>0</v>
      </c>
      <c r="E1771" s="3">
        <v>0</v>
      </c>
      <c r="F1771" s="3">
        <v>2500</v>
      </c>
      <c r="G1771" s="5">
        <v>2500</v>
      </c>
    </row>
    <row r="1772" spans="1:7" ht="15" customHeight="1" x14ac:dyDescent="0.25">
      <c r="A1772" s="2" t="s">
        <v>1279</v>
      </c>
      <c r="B1772" s="2" t="s">
        <v>37</v>
      </c>
      <c r="C1772" s="3">
        <v>497.37</v>
      </c>
      <c r="D1772" s="3">
        <v>159.55000000000001</v>
      </c>
      <c r="E1772" s="3">
        <v>629.52</v>
      </c>
      <c r="F1772" s="3">
        <v>500</v>
      </c>
      <c r="G1772" s="5">
        <v>500</v>
      </c>
    </row>
    <row r="1773" spans="1:7" ht="15" customHeight="1" x14ac:dyDescent="0.25">
      <c r="A1773" s="2" t="s">
        <v>1280</v>
      </c>
      <c r="B1773" s="2" t="s">
        <v>39</v>
      </c>
      <c r="C1773" s="3">
        <v>0</v>
      </c>
      <c r="D1773" s="3">
        <v>0</v>
      </c>
      <c r="E1773" s="3">
        <v>0</v>
      </c>
      <c r="F1773" s="3">
        <v>500</v>
      </c>
      <c r="G1773" s="5">
        <v>500</v>
      </c>
    </row>
    <row r="1774" spans="1:7" ht="15" customHeight="1" x14ac:dyDescent="0.25">
      <c r="A1774" s="2" t="s">
        <v>1281</v>
      </c>
      <c r="B1774" s="2" t="s">
        <v>907</v>
      </c>
      <c r="C1774" s="3">
        <v>138125.85999999999</v>
      </c>
      <c r="D1774" s="3">
        <v>119010.61</v>
      </c>
      <c r="E1774" s="3">
        <v>119010.61</v>
      </c>
      <c r="F1774" s="3">
        <v>119010.61</v>
      </c>
      <c r="G1774" s="5">
        <v>138000</v>
      </c>
    </row>
    <row r="1775" spans="1:7" ht="15" customHeight="1" x14ac:dyDescent="0.25">
      <c r="A1775" s="2" t="s">
        <v>1282</v>
      </c>
      <c r="B1775" s="2" t="s">
        <v>1283</v>
      </c>
      <c r="C1775" s="3">
        <v>77322.259999999995</v>
      </c>
      <c r="D1775" s="3">
        <v>49046.03</v>
      </c>
      <c r="E1775" s="3">
        <v>49046.03</v>
      </c>
      <c r="F1775" s="3">
        <v>49046.03</v>
      </c>
      <c r="G1775" s="59">
        <v>77322.259999999995</v>
      </c>
    </row>
    <row r="1776" spans="1:7" x14ac:dyDescent="0.25">
      <c r="A1776" s="2" t="s">
        <v>1284</v>
      </c>
      <c r="B1776" s="2" t="s">
        <v>15</v>
      </c>
      <c r="C1776" s="3">
        <v>28399.33</v>
      </c>
      <c r="D1776" s="3">
        <v>8693.16</v>
      </c>
      <c r="E1776" s="3">
        <v>8693.16</v>
      </c>
      <c r="F1776" s="3">
        <v>8693.16</v>
      </c>
      <c r="G1776" s="5">
        <v>18000</v>
      </c>
    </row>
    <row r="1777" spans="1:8" x14ac:dyDescent="0.25">
      <c r="A1777" s="2" t="s">
        <v>1285</v>
      </c>
      <c r="B1777" s="2" t="s">
        <v>1286</v>
      </c>
      <c r="C1777" s="3">
        <v>1862.84</v>
      </c>
      <c r="D1777" s="3">
        <v>8459.43</v>
      </c>
      <c r="E1777" s="3">
        <v>10922.79</v>
      </c>
      <c r="F1777" s="3">
        <v>50000</v>
      </c>
      <c r="G1777" s="5">
        <v>50000</v>
      </c>
    </row>
    <row r="1778" spans="1:8" ht="15" customHeight="1" x14ac:dyDescent="0.25">
      <c r="A1778" s="2" t="s">
        <v>1287</v>
      </c>
      <c r="B1778" s="2" t="s">
        <v>1288</v>
      </c>
      <c r="C1778" s="3">
        <v>0</v>
      </c>
      <c r="D1778" s="3">
        <v>0</v>
      </c>
      <c r="E1778" s="3">
        <v>0</v>
      </c>
      <c r="F1778" s="3">
        <v>0</v>
      </c>
      <c r="G1778" s="5">
        <v>0</v>
      </c>
    </row>
    <row r="1779" spans="1:8" x14ac:dyDescent="0.25">
      <c r="A1779" s="2" t="s">
        <v>1289</v>
      </c>
      <c r="B1779" s="2" t="s">
        <v>1290</v>
      </c>
      <c r="C1779" s="3">
        <v>34098.03</v>
      </c>
      <c r="D1779" s="3">
        <v>14048.08</v>
      </c>
      <c r="E1779" s="3">
        <v>26782.54</v>
      </c>
      <c r="F1779" s="3">
        <v>25000</v>
      </c>
      <c r="G1779" s="5">
        <v>40000</v>
      </c>
    </row>
    <row r="1780" spans="1:8" ht="15" customHeight="1" x14ac:dyDescent="0.25">
      <c r="A1780" s="2" t="s">
        <v>1291</v>
      </c>
      <c r="B1780" s="2" t="s">
        <v>59</v>
      </c>
      <c r="C1780" s="3">
        <v>226.55</v>
      </c>
      <c r="D1780" s="3">
        <v>292.99</v>
      </c>
      <c r="E1780" s="3">
        <v>456.03</v>
      </c>
      <c r="F1780" s="3">
        <v>3000</v>
      </c>
      <c r="G1780" s="5">
        <v>1000</v>
      </c>
    </row>
    <row r="1781" spans="1:8" ht="15" customHeight="1" x14ac:dyDescent="0.25">
      <c r="A1781" s="2" t="s">
        <v>1292</v>
      </c>
      <c r="B1781" s="2" t="s">
        <v>99</v>
      </c>
      <c r="C1781" s="3">
        <v>8693.58</v>
      </c>
      <c r="D1781" s="3">
        <v>2687.67</v>
      </c>
      <c r="E1781" s="3">
        <v>5173.12</v>
      </c>
      <c r="F1781" s="3">
        <v>6200</v>
      </c>
      <c r="G1781" s="5">
        <v>9000</v>
      </c>
    </row>
    <row r="1782" spans="1:8" ht="15" customHeight="1" x14ac:dyDescent="0.25">
      <c r="A1782" s="2" t="s">
        <v>1293</v>
      </c>
      <c r="B1782" s="2" t="s">
        <v>17</v>
      </c>
      <c r="C1782" s="3">
        <v>0</v>
      </c>
      <c r="D1782" s="3">
        <v>0</v>
      </c>
      <c r="E1782" s="3">
        <v>0</v>
      </c>
      <c r="F1782" s="3">
        <v>500</v>
      </c>
      <c r="G1782" s="5">
        <v>500</v>
      </c>
    </row>
    <row r="1783" spans="1:8" ht="15" customHeight="1" x14ac:dyDescent="0.25">
      <c r="A1783" s="2" t="s">
        <v>1294</v>
      </c>
      <c r="B1783" s="2" t="s">
        <v>1295</v>
      </c>
      <c r="C1783" s="3">
        <v>0</v>
      </c>
      <c r="D1783" s="3">
        <v>0</v>
      </c>
      <c r="E1783" s="3">
        <v>0</v>
      </c>
      <c r="F1783" s="3">
        <v>250</v>
      </c>
      <c r="G1783" s="5">
        <v>0</v>
      </c>
    </row>
    <row r="1784" spans="1:8" ht="15" customHeight="1" x14ac:dyDescent="0.25">
      <c r="A1784" s="2" t="s">
        <v>1296</v>
      </c>
      <c r="B1784" s="2" t="s">
        <v>917</v>
      </c>
      <c r="C1784" s="3">
        <v>1476.96</v>
      </c>
      <c r="D1784" s="3">
        <v>615.75</v>
      </c>
      <c r="E1784" s="3">
        <v>1108.3499999999999</v>
      </c>
      <c r="F1784" s="3">
        <v>1500</v>
      </c>
      <c r="G1784" s="5">
        <v>1700</v>
      </c>
    </row>
    <row r="1785" spans="1:8" ht="15" customHeight="1" x14ac:dyDescent="0.25">
      <c r="A1785" s="2" t="s">
        <v>1297</v>
      </c>
      <c r="B1785" s="2" t="s">
        <v>62</v>
      </c>
      <c r="C1785" s="3">
        <v>621.24</v>
      </c>
      <c r="D1785" s="3">
        <v>237.51</v>
      </c>
      <c r="E1785" s="3">
        <v>444.17</v>
      </c>
      <c r="F1785" s="3">
        <v>650</v>
      </c>
      <c r="G1785" s="5">
        <v>800</v>
      </c>
    </row>
    <row r="1786" spans="1:8" ht="15" customHeight="1" x14ac:dyDescent="0.25">
      <c r="A1786" s="2" t="s">
        <v>1298</v>
      </c>
      <c r="B1786" s="2" t="s">
        <v>947</v>
      </c>
      <c r="C1786" s="3">
        <v>0</v>
      </c>
      <c r="D1786" s="3">
        <v>0</v>
      </c>
      <c r="E1786" s="3">
        <v>0</v>
      </c>
      <c r="F1786" s="3">
        <v>0</v>
      </c>
      <c r="G1786" s="5">
        <v>0</v>
      </c>
    </row>
    <row r="1787" spans="1:8" ht="15" customHeight="1" x14ac:dyDescent="0.25">
      <c r="A1787" s="2" t="s">
        <v>1299</v>
      </c>
      <c r="B1787" s="2" t="s">
        <v>64</v>
      </c>
      <c r="C1787" s="3">
        <v>503.79</v>
      </c>
      <c r="D1787" s="3">
        <v>15.64</v>
      </c>
      <c r="E1787" s="3">
        <v>144.62</v>
      </c>
      <c r="F1787" s="3">
        <v>500</v>
      </c>
      <c r="G1787" s="5">
        <v>500</v>
      </c>
    </row>
    <row r="1788" spans="1:8" ht="15" customHeight="1" x14ac:dyDescent="0.25">
      <c r="A1788" s="2" t="s">
        <v>1300</v>
      </c>
      <c r="B1788" s="2" t="s">
        <v>1301</v>
      </c>
      <c r="C1788" s="3">
        <v>0</v>
      </c>
      <c r="D1788" s="3">
        <v>0</v>
      </c>
      <c r="E1788" s="3">
        <v>0</v>
      </c>
      <c r="F1788" s="3">
        <v>0</v>
      </c>
      <c r="G1788" s="5">
        <v>0</v>
      </c>
    </row>
    <row r="1789" spans="1:8" ht="15" customHeight="1" x14ac:dyDescent="0.25">
      <c r="A1789" s="2" t="s">
        <v>1302</v>
      </c>
      <c r="B1789" s="2" t="s">
        <v>1303</v>
      </c>
      <c r="C1789" s="3">
        <v>192603.36</v>
      </c>
      <c r="D1789" s="3">
        <v>67340.759999999995</v>
      </c>
      <c r="E1789" s="3">
        <v>133131.32999999999</v>
      </c>
      <c r="F1789" s="3">
        <v>122755</v>
      </c>
      <c r="G1789" s="5">
        <v>0</v>
      </c>
      <c r="H1789" t="s">
        <v>3415</v>
      </c>
    </row>
    <row r="1790" spans="1:8" ht="15" customHeight="1" x14ac:dyDescent="0.25">
      <c r="A1790" s="2" t="s">
        <v>1304</v>
      </c>
      <c r="B1790" s="2" t="s">
        <v>1305</v>
      </c>
      <c r="C1790" s="3">
        <v>446396.47</v>
      </c>
      <c r="D1790" s="3">
        <v>157697.76</v>
      </c>
      <c r="E1790" s="3">
        <v>297224.39</v>
      </c>
      <c r="F1790" s="3">
        <v>276201</v>
      </c>
      <c r="G1790" s="5">
        <v>0</v>
      </c>
      <c r="H1790" t="s">
        <v>3415</v>
      </c>
    </row>
    <row r="1791" spans="1:8" ht="15" customHeight="1" x14ac:dyDescent="0.25">
      <c r="A1791" s="1" t="s">
        <v>1306</v>
      </c>
      <c r="B1791" s="1" t="s">
        <v>2</v>
      </c>
      <c r="C1791" s="4">
        <v>1111598.8999999999</v>
      </c>
      <c r="D1791" s="4">
        <v>511680.72</v>
      </c>
      <c r="E1791" s="4">
        <f>SUM(E1763:E1790)</f>
        <v>804704.98999999987</v>
      </c>
      <c r="F1791" s="6">
        <f>SUM(F1763:F1790)</f>
        <v>907001.34999999986</v>
      </c>
      <c r="G1791" s="6">
        <f>SUM(G1763:G1790)</f>
        <v>593842.20649999997</v>
      </c>
    </row>
    <row r="1792" spans="1:8" x14ac:dyDescent="0.25">
      <c r="A1792" s="1" t="s">
        <v>2</v>
      </c>
      <c r="B1792" s="1" t="s">
        <v>2</v>
      </c>
      <c r="C1792" s="1" t="s">
        <v>2</v>
      </c>
      <c r="D1792" s="1" t="s">
        <v>2</v>
      </c>
      <c r="E1792" s="1"/>
      <c r="F1792" s="1" t="s">
        <v>2</v>
      </c>
      <c r="G1792" s="1" t="s">
        <v>2</v>
      </c>
    </row>
    <row r="1793" spans="1:7" ht="15" customHeight="1" x14ac:dyDescent="0.25">
      <c r="A1793" s="1" t="s">
        <v>1307</v>
      </c>
      <c r="B1793" s="1" t="s">
        <v>2</v>
      </c>
    </row>
    <row r="1794" spans="1:7" ht="15" customHeight="1" x14ac:dyDescent="0.25">
      <c r="A1794" s="2" t="s">
        <v>1308</v>
      </c>
      <c r="B1794" s="2" t="s">
        <v>108</v>
      </c>
      <c r="C1794" s="3">
        <v>208669.67</v>
      </c>
      <c r="D1794" s="3">
        <v>106815.01</v>
      </c>
      <c r="E1794" s="3">
        <v>166154.79999999999</v>
      </c>
      <c r="F1794" s="3">
        <v>279927.38</v>
      </c>
      <c r="G1794" s="5">
        <f t="shared" ref="G1794:G1804" si="51">F1794*1.055</f>
        <v>295323.38589999999</v>
      </c>
    </row>
    <row r="1795" spans="1:7" ht="15" customHeight="1" x14ac:dyDescent="0.25">
      <c r="A1795" s="2" t="s">
        <v>1309</v>
      </c>
      <c r="B1795" s="2" t="s">
        <v>567</v>
      </c>
      <c r="C1795" s="3">
        <v>1319.99</v>
      </c>
      <c r="D1795" s="3">
        <v>0</v>
      </c>
      <c r="E1795" s="3">
        <v>1365</v>
      </c>
      <c r="F1795" s="3">
        <v>4488</v>
      </c>
      <c r="G1795" s="5">
        <f t="shared" si="51"/>
        <v>4734.84</v>
      </c>
    </row>
    <row r="1796" spans="1:7" ht="15" customHeight="1" x14ac:dyDescent="0.25">
      <c r="A1796" s="2" t="s">
        <v>1310</v>
      </c>
      <c r="B1796" s="2" t="s">
        <v>786</v>
      </c>
      <c r="C1796" s="3">
        <v>11191.54</v>
      </c>
      <c r="D1796" s="3">
        <v>4144.21</v>
      </c>
      <c r="E1796" s="3">
        <v>6565.41</v>
      </c>
      <c r="F1796" s="3">
        <v>7832.8</v>
      </c>
      <c r="G1796" s="5">
        <f t="shared" si="51"/>
        <v>8263.6039999999994</v>
      </c>
    </row>
    <row r="1797" spans="1:7" ht="15" customHeight="1" x14ac:dyDescent="0.25">
      <c r="A1797" s="2" t="s">
        <v>1311</v>
      </c>
      <c r="B1797" s="2" t="s">
        <v>29</v>
      </c>
      <c r="C1797" s="3">
        <v>53818.48</v>
      </c>
      <c r="D1797" s="3">
        <v>28536.35</v>
      </c>
      <c r="E1797" s="3">
        <v>45011.47</v>
      </c>
      <c r="F1797" s="3">
        <v>79527.8</v>
      </c>
      <c r="G1797" s="5">
        <f t="shared" si="51"/>
        <v>83901.828999999998</v>
      </c>
    </row>
    <row r="1798" spans="1:7" ht="15" customHeight="1" x14ac:dyDescent="0.25">
      <c r="A1798" s="2" t="s">
        <v>1312</v>
      </c>
      <c r="B1798" s="2" t="s">
        <v>128</v>
      </c>
      <c r="C1798" s="3">
        <v>4998.75</v>
      </c>
      <c r="D1798" s="3">
        <v>2093.56</v>
      </c>
      <c r="E1798" s="3">
        <v>3184.48</v>
      </c>
      <c r="F1798" s="3">
        <v>9507.93</v>
      </c>
      <c r="G1798" s="5">
        <f t="shared" si="51"/>
        <v>10030.86615</v>
      </c>
    </row>
    <row r="1799" spans="1:7" ht="15" customHeight="1" x14ac:dyDescent="0.25">
      <c r="A1799" s="2" t="s">
        <v>1313</v>
      </c>
      <c r="B1799" s="2" t="s">
        <v>33</v>
      </c>
      <c r="C1799" s="3">
        <v>27605.88</v>
      </c>
      <c r="D1799" s="3">
        <v>12504.08</v>
      </c>
      <c r="E1799" s="3">
        <v>19526.349999999999</v>
      </c>
      <c r="F1799" s="3">
        <v>33388.589999999997</v>
      </c>
      <c r="G1799" s="5">
        <f t="shared" si="51"/>
        <v>35224.962449999992</v>
      </c>
    </row>
    <row r="1800" spans="1:7" ht="15" customHeight="1" x14ac:dyDescent="0.25">
      <c r="A1800" s="2" t="s">
        <v>1314</v>
      </c>
      <c r="B1800" s="2" t="s">
        <v>11</v>
      </c>
      <c r="C1800" s="3">
        <v>15848.4</v>
      </c>
      <c r="D1800" s="3">
        <v>8049.82</v>
      </c>
      <c r="E1800" s="3">
        <v>12626.37</v>
      </c>
      <c r="F1800" s="3">
        <v>21757.78</v>
      </c>
      <c r="G1800" s="5">
        <f t="shared" si="51"/>
        <v>22954.457899999998</v>
      </c>
    </row>
    <row r="1801" spans="1:7" ht="15" customHeight="1" x14ac:dyDescent="0.25">
      <c r="A1801" s="2" t="s">
        <v>1315</v>
      </c>
      <c r="B1801" s="2" t="s">
        <v>13</v>
      </c>
      <c r="C1801" s="3">
        <v>325.7</v>
      </c>
      <c r="D1801" s="3">
        <v>234.98</v>
      </c>
      <c r="E1801" s="3">
        <v>371.66</v>
      </c>
      <c r="F1801" s="3">
        <v>429.6</v>
      </c>
      <c r="G1801" s="5">
        <f t="shared" si="51"/>
        <v>453.22800000000001</v>
      </c>
    </row>
    <row r="1802" spans="1:7" ht="15" customHeight="1" x14ac:dyDescent="0.25">
      <c r="A1802" s="2" t="s">
        <v>1316</v>
      </c>
      <c r="B1802" s="2" t="s">
        <v>85</v>
      </c>
      <c r="C1802" s="3">
        <v>1075.0899999999999</v>
      </c>
      <c r="D1802" s="3">
        <v>1064.76</v>
      </c>
      <c r="E1802" s="3">
        <v>1064.76</v>
      </c>
      <c r="F1802" s="3">
        <v>1785</v>
      </c>
      <c r="G1802" s="5">
        <f t="shared" si="51"/>
        <v>1883.175</v>
      </c>
    </row>
    <row r="1803" spans="1:7" ht="15" customHeight="1" x14ac:dyDescent="0.25">
      <c r="A1803" s="2" t="s">
        <v>1317</v>
      </c>
      <c r="B1803" s="2" t="s">
        <v>577</v>
      </c>
      <c r="C1803" s="3">
        <v>235.67</v>
      </c>
      <c r="D1803" s="3">
        <v>70.739999999999995</v>
      </c>
      <c r="E1803" s="3">
        <v>112.55</v>
      </c>
      <c r="F1803" s="3">
        <v>197.26</v>
      </c>
      <c r="G1803" s="5">
        <f t="shared" si="51"/>
        <v>208.10929999999999</v>
      </c>
    </row>
    <row r="1804" spans="1:7" ht="15" customHeight="1" x14ac:dyDescent="0.25">
      <c r="A1804" s="2" t="s">
        <v>1318</v>
      </c>
      <c r="B1804" s="2" t="s">
        <v>579</v>
      </c>
      <c r="C1804" s="3">
        <v>1482.42</v>
      </c>
      <c r="D1804" s="3">
        <v>480.56</v>
      </c>
      <c r="E1804" s="3">
        <v>763.21</v>
      </c>
      <c r="F1804" s="3">
        <v>937.47</v>
      </c>
      <c r="G1804" s="5">
        <f t="shared" si="51"/>
        <v>989.03084999999999</v>
      </c>
    </row>
    <row r="1805" spans="1:7" ht="15" customHeight="1" x14ac:dyDescent="0.25">
      <c r="A1805" s="2" t="s">
        <v>1319</v>
      </c>
      <c r="B1805" s="2" t="s">
        <v>581</v>
      </c>
      <c r="C1805" s="3">
        <v>841.16</v>
      </c>
      <c r="D1805" s="3">
        <v>313.08999999999997</v>
      </c>
      <c r="E1805" s="3">
        <v>495.92</v>
      </c>
      <c r="F1805" s="3">
        <v>599.21</v>
      </c>
      <c r="G1805" s="5">
        <f>F1805*1.055</f>
        <v>632.16655000000003</v>
      </c>
    </row>
    <row r="1806" spans="1:7" ht="15" customHeight="1" x14ac:dyDescent="0.25">
      <c r="A1806" s="2" t="s">
        <v>1320</v>
      </c>
      <c r="B1806" s="2" t="s">
        <v>458</v>
      </c>
      <c r="C1806" s="3">
        <v>1104.18</v>
      </c>
      <c r="D1806" s="3">
        <v>258.31</v>
      </c>
      <c r="E1806" s="3">
        <v>328.03</v>
      </c>
      <c r="F1806" s="3">
        <v>1042.1600000000001</v>
      </c>
      <c r="G1806" s="5">
        <v>750</v>
      </c>
    </row>
    <row r="1807" spans="1:7" ht="15" customHeight="1" x14ac:dyDescent="0.25">
      <c r="A1807" s="2" t="s">
        <v>1321</v>
      </c>
      <c r="B1807" s="2" t="s">
        <v>585</v>
      </c>
      <c r="C1807" s="3">
        <v>315</v>
      </c>
      <c r="D1807" s="3">
        <v>0</v>
      </c>
      <c r="E1807" s="3">
        <v>120.69</v>
      </c>
      <c r="F1807" s="3">
        <v>80</v>
      </c>
      <c r="G1807" s="5">
        <v>150</v>
      </c>
    </row>
    <row r="1808" spans="1:7" ht="15" customHeight="1" x14ac:dyDescent="0.25">
      <c r="A1808" s="2" t="s">
        <v>1322</v>
      </c>
      <c r="B1808" s="2" t="s">
        <v>1323</v>
      </c>
      <c r="C1808" s="3">
        <v>120556.22</v>
      </c>
      <c r="D1808" s="3">
        <v>40091.1</v>
      </c>
      <c r="E1808" s="3">
        <v>49773.25</v>
      </c>
      <c r="F1808" s="3">
        <v>125000</v>
      </c>
      <c r="G1808" s="5">
        <v>125000</v>
      </c>
    </row>
    <row r="1809" spans="1:7" ht="15" customHeight="1" x14ac:dyDescent="0.25">
      <c r="A1809" s="2" t="s">
        <v>1324</v>
      </c>
      <c r="B1809" s="2" t="s">
        <v>1325</v>
      </c>
      <c r="C1809" s="3">
        <v>0</v>
      </c>
      <c r="D1809" s="3">
        <v>0</v>
      </c>
      <c r="E1809" s="3">
        <v>0</v>
      </c>
      <c r="F1809" s="3">
        <v>6000</v>
      </c>
      <c r="G1809" s="5">
        <v>6000</v>
      </c>
    </row>
    <row r="1810" spans="1:7" ht="15" customHeight="1" x14ac:dyDescent="0.25">
      <c r="A1810" s="2" t="s">
        <v>1326</v>
      </c>
      <c r="B1810" s="2" t="s">
        <v>1327</v>
      </c>
      <c r="C1810" s="3">
        <v>3792.68</v>
      </c>
      <c r="D1810" s="3">
        <v>3439.7</v>
      </c>
      <c r="E1810" s="3">
        <v>4145.34</v>
      </c>
      <c r="F1810" s="3">
        <v>5000</v>
      </c>
      <c r="G1810" s="5">
        <v>5000</v>
      </c>
    </row>
    <row r="1811" spans="1:7" ht="15" customHeight="1" x14ac:dyDescent="0.25">
      <c r="A1811" s="2" t="s">
        <v>1328</v>
      </c>
      <c r="B1811" s="2" t="s">
        <v>940</v>
      </c>
      <c r="C1811" s="3">
        <v>2323.2399999999998</v>
      </c>
      <c r="D1811" s="3">
        <v>477.14</v>
      </c>
      <c r="E1811" s="3">
        <v>3008.34</v>
      </c>
      <c r="F1811" s="3">
        <v>7500</v>
      </c>
      <c r="G1811" s="5">
        <v>7500</v>
      </c>
    </row>
    <row r="1812" spans="1:7" x14ac:dyDescent="0.25">
      <c r="A1812" s="2" t="s">
        <v>1329</v>
      </c>
      <c r="B1812" s="2" t="s">
        <v>1330</v>
      </c>
      <c r="C1812" s="3">
        <v>5322.31</v>
      </c>
      <c r="D1812" s="3">
        <v>223.81</v>
      </c>
      <c r="E1812" s="3">
        <v>2374.9299999999998</v>
      </c>
      <c r="F1812" s="3">
        <v>8000</v>
      </c>
      <c r="G1812" s="5">
        <v>8000</v>
      </c>
    </row>
    <row r="1813" spans="1:7" ht="15" customHeight="1" x14ac:dyDescent="0.25">
      <c r="A1813" s="2" t="s">
        <v>1331</v>
      </c>
      <c r="B1813" s="2" t="s">
        <v>59</v>
      </c>
      <c r="C1813" s="3">
        <v>0</v>
      </c>
      <c r="D1813" s="3">
        <v>0</v>
      </c>
      <c r="E1813" s="3">
        <v>0</v>
      </c>
      <c r="F1813" s="3">
        <v>0</v>
      </c>
      <c r="G1813" s="5">
        <v>0</v>
      </c>
    </row>
    <row r="1814" spans="1:7" ht="15" customHeight="1" x14ac:dyDescent="0.25">
      <c r="A1814" s="2" t="s">
        <v>1332</v>
      </c>
      <c r="B1814" s="2" t="s">
        <v>17</v>
      </c>
      <c r="C1814" s="3">
        <v>0</v>
      </c>
      <c r="D1814" s="3">
        <v>0</v>
      </c>
      <c r="E1814" s="3">
        <v>0</v>
      </c>
      <c r="F1814" s="3">
        <v>0</v>
      </c>
      <c r="G1814" s="5">
        <v>0</v>
      </c>
    </row>
    <row r="1815" spans="1:7" ht="15" customHeight="1" x14ac:dyDescent="0.25">
      <c r="A1815" s="2" t="s">
        <v>1333</v>
      </c>
      <c r="B1815" s="2" t="s">
        <v>947</v>
      </c>
      <c r="C1815" s="3">
        <v>178.08</v>
      </c>
      <c r="D1815" s="3">
        <v>0</v>
      </c>
      <c r="E1815" s="3">
        <v>0</v>
      </c>
      <c r="F1815" s="3">
        <v>0</v>
      </c>
      <c r="G1815" s="5">
        <v>0</v>
      </c>
    </row>
    <row r="1816" spans="1:7" ht="15" customHeight="1" x14ac:dyDescent="0.25">
      <c r="A1816" s="2" t="s">
        <v>1334</v>
      </c>
      <c r="B1816" s="2" t="s">
        <v>64</v>
      </c>
      <c r="C1816" s="3">
        <v>104.67</v>
      </c>
      <c r="D1816" s="3">
        <v>0</v>
      </c>
      <c r="E1816" s="3">
        <v>0</v>
      </c>
      <c r="F1816" s="3">
        <v>2000</v>
      </c>
      <c r="G1816" s="5">
        <v>2000</v>
      </c>
    </row>
    <row r="1817" spans="1:7" ht="15" customHeight="1" x14ac:dyDescent="0.25">
      <c r="A1817" s="2" t="s">
        <v>1335</v>
      </c>
      <c r="B1817" s="2" t="s">
        <v>956</v>
      </c>
      <c r="C1817" s="3">
        <v>168</v>
      </c>
      <c r="D1817" s="3">
        <v>52.02</v>
      </c>
      <c r="E1817" s="3">
        <v>52.02</v>
      </c>
      <c r="F1817" s="3">
        <v>2500</v>
      </c>
      <c r="G1817" s="5">
        <v>2500</v>
      </c>
    </row>
    <row r="1818" spans="1:7" ht="15" customHeight="1" x14ac:dyDescent="0.25">
      <c r="A1818" s="1" t="s">
        <v>1336</v>
      </c>
      <c r="B1818" s="1" t="s">
        <v>2</v>
      </c>
      <c r="C1818" s="4">
        <v>461277.13</v>
      </c>
      <c r="D1818" s="4">
        <v>208849.24</v>
      </c>
      <c r="E1818" s="4">
        <f>SUM(E1794:E1817)</f>
        <v>317044.58000000007</v>
      </c>
      <c r="F1818" s="6">
        <f>SUM(F1794:F1817)</f>
        <v>597500.98</v>
      </c>
      <c r="G1818" s="6">
        <f>SUM(G1794:G1817)</f>
        <v>621499.65510000009</v>
      </c>
    </row>
    <row r="1819" spans="1:7" x14ac:dyDescent="0.25">
      <c r="A1819" s="1" t="s">
        <v>2</v>
      </c>
      <c r="B1819" s="1" t="s">
        <v>2</v>
      </c>
      <c r="C1819" s="1" t="s">
        <v>2</v>
      </c>
      <c r="D1819" s="1" t="s">
        <v>2</v>
      </c>
      <c r="E1819" s="1"/>
      <c r="F1819" s="1" t="s">
        <v>2</v>
      </c>
      <c r="G1819" s="1" t="s">
        <v>2</v>
      </c>
    </row>
    <row r="1820" spans="1:7" ht="15" customHeight="1" x14ac:dyDescent="0.25">
      <c r="A1820" s="1" t="s">
        <v>1337</v>
      </c>
      <c r="B1820" s="1" t="s">
        <v>2</v>
      </c>
    </row>
    <row r="1821" spans="1:7" ht="15" customHeight="1" x14ac:dyDescent="0.25">
      <c r="A1821" s="2" t="s">
        <v>1338</v>
      </c>
      <c r="B1821" s="2" t="s">
        <v>786</v>
      </c>
      <c r="C1821" s="3">
        <v>26705.3</v>
      </c>
      <c r="D1821" s="3">
        <v>13902.12</v>
      </c>
      <c r="E1821" s="3">
        <v>22251.55</v>
      </c>
      <c r="F1821" s="3">
        <v>0</v>
      </c>
      <c r="G1821" s="55">
        <f>E1821*1.055</f>
        <v>23475.385249999999</v>
      </c>
    </row>
    <row r="1822" spans="1:7" ht="15" customHeight="1" x14ac:dyDescent="0.25">
      <c r="A1822" s="2" t="s">
        <v>1339</v>
      </c>
      <c r="B1822" s="2" t="s">
        <v>108</v>
      </c>
      <c r="C1822" s="3">
        <v>217953.64</v>
      </c>
      <c r="D1822" s="3">
        <v>101871.95</v>
      </c>
      <c r="E1822" s="3">
        <v>179590.6</v>
      </c>
      <c r="F1822" s="3">
        <v>258550.04</v>
      </c>
      <c r="G1822" s="5">
        <f t="shared" ref="G1822:G1831" si="52">F1822*1.055</f>
        <v>272770.29219999997</v>
      </c>
    </row>
    <row r="1823" spans="1:7" ht="15" customHeight="1" x14ac:dyDescent="0.25">
      <c r="A1823" s="2" t="s">
        <v>1340</v>
      </c>
      <c r="B1823" s="2" t="s">
        <v>1341</v>
      </c>
      <c r="C1823" s="3">
        <v>0</v>
      </c>
      <c r="D1823" s="3">
        <v>0</v>
      </c>
      <c r="E1823" s="3">
        <v>0</v>
      </c>
      <c r="F1823" s="3">
        <v>3944</v>
      </c>
      <c r="G1823" s="5">
        <f t="shared" si="52"/>
        <v>4160.92</v>
      </c>
    </row>
    <row r="1824" spans="1:7" ht="15" customHeight="1" x14ac:dyDescent="0.25">
      <c r="A1824" s="2" t="s">
        <v>1342</v>
      </c>
      <c r="B1824" s="2" t="s">
        <v>29</v>
      </c>
      <c r="C1824" s="3">
        <v>58188.52</v>
      </c>
      <c r="D1824" s="3">
        <v>29295.79</v>
      </c>
      <c r="E1824" s="3">
        <v>51264.33</v>
      </c>
      <c r="F1824" s="3">
        <v>67370.98</v>
      </c>
      <c r="G1824" s="5">
        <f t="shared" si="52"/>
        <v>71076.383899999986</v>
      </c>
    </row>
    <row r="1825" spans="1:8" ht="15" customHeight="1" x14ac:dyDescent="0.25">
      <c r="A1825" s="2" t="s">
        <v>1343</v>
      </c>
      <c r="B1825" s="2" t="s">
        <v>128</v>
      </c>
      <c r="C1825" s="3">
        <v>4875.58</v>
      </c>
      <c r="D1825" s="3">
        <v>1674.8</v>
      </c>
      <c r="E1825" s="3">
        <v>3045.22</v>
      </c>
      <c r="F1825" s="3">
        <v>6904.1</v>
      </c>
      <c r="G1825" s="5">
        <f t="shared" si="52"/>
        <v>7283.8254999999999</v>
      </c>
    </row>
    <row r="1826" spans="1:8" ht="15" customHeight="1" x14ac:dyDescent="0.25">
      <c r="A1826" s="2" t="s">
        <v>1344</v>
      </c>
      <c r="B1826" s="2" t="s">
        <v>33</v>
      </c>
      <c r="C1826" s="3">
        <v>24379.96</v>
      </c>
      <c r="D1826" s="3">
        <v>10295.18</v>
      </c>
      <c r="E1826" s="3">
        <v>18229.38</v>
      </c>
      <c r="F1826" s="3">
        <v>30904.18</v>
      </c>
      <c r="G1826" s="5">
        <f t="shared" si="52"/>
        <v>32603.909899999999</v>
      </c>
    </row>
    <row r="1827" spans="1:8" ht="15" customHeight="1" x14ac:dyDescent="0.25">
      <c r="A1827" s="2" t="s">
        <v>1345</v>
      </c>
      <c r="B1827" s="2" t="s">
        <v>11</v>
      </c>
      <c r="C1827" s="3">
        <v>16450.84</v>
      </c>
      <c r="D1827" s="3">
        <v>7685.59</v>
      </c>
      <c r="E1827" s="3">
        <v>13547.52</v>
      </c>
      <c r="F1827" s="3">
        <v>20080.79</v>
      </c>
      <c r="G1827" s="5">
        <f t="shared" si="52"/>
        <v>21185.23345</v>
      </c>
    </row>
    <row r="1828" spans="1:8" ht="15" customHeight="1" x14ac:dyDescent="0.25">
      <c r="A1828" s="2" t="s">
        <v>1346</v>
      </c>
      <c r="B1828" s="2" t="s">
        <v>1347</v>
      </c>
      <c r="C1828" s="3">
        <v>3921.79</v>
      </c>
      <c r="D1828" s="3">
        <v>1668.58</v>
      </c>
      <c r="E1828" s="3">
        <v>2831.92</v>
      </c>
      <c r="F1828" s="3">
        <v>0</v>
      </c>
      <c r="G1828" s="5">
        <f t="shared" si="52"/>
        <v>0</v>
      </c>
    </row>
    <row r="1829" spans="1:8" ht="15" customHeight="1" x14ac:dyDescent="0.25">
      <c r="A1829" s="2" t="s">
        <v>1348</v>
      </c>
      <c r="B1829" s="2" t="s">
        <v>13</v>
      </c>
      <c r="C1829" s="3">
        <v>358.99</v>
      </c>
      <c r="D1829" s="3">
        <v>247.12</v>
      </c>
      <c r="E1829" s="3">
        <v>430.21</v>
      </c>
      <c r="F1829" s="3">
        <v>385.87</v>
      </c>
      <c r="G1829" s="5">
        <f t="shared" si="52"/>
        <v>407.09285</v>
      </c>
    </row>
    <row r="1830" spans="1:8" ht="15" customHeight="1" x14ac:dyDescent="0.25">
      <c r="A1830" s="2" t="s">
        <v>1349</v>
      </c>
      <c r="B1830" s="2" t="s">
        <v>577</v>
      </c>
      <c r="C1830" s="3">
        <v>505</v>
      </c>
      <c r="D1830" s="3">
        <v>206.46</v>
      </c>
      <c r="E1830" s="3">
        <v>321.89</v>
      </c>
      <c r="F1830" s="3">
        <v>0</v>
      </c>
      <c r="G1830" s="5">
        <f t="shared" si="52"/>
        <v>0</v>
      </c>
    </row>
    <row r="1831" spans="1:8" ht="15" customHeight="1" x14ac:dyDescent="0.25">
      <c r="A1831" s="2" t="s">
        <v>1350</v>
      </c>
      <c r="B1831" s="2" t="s">
        <v>579</v>
      </c>
      <c r="C1831" s="3">
        <v>3526.39</v>
      </c>
      <c r="D1831" s="3">
        <v>1667.85</v>
      </c>
      <c r="E1831" s="3">
        <v>2639.8</v>
      </c>
      <c r="F1831" s="3">
        <v>0</v>
      </c>
      <c r="G1831" s="5">
        <f t="shared" si="52"/>
        <v>0</v>
      </c>
    </row>
    <row r="1832" spans="1:8" ht="15" customHeight="1" x14ac:dyDescent="0.25">
      <c r="A1832" s="2" t="s">
        <v>1351</v>
      </c>
      <c r="B1832" s="2" t="s">
        <v>581</v>
      </c>
      <c r="C1832" s="3">
        <v>2021.08</v>
      </c>
      <c r="D1832" s="3">
        <v>1049.18</v>
      </c>
      <c r="E1832" s="3">
        <v>1678.85</v>
      </c>
      <c r="F1832" s="3">
        <v>0</v>
      </c>
      <c r="G1832" s="5">
        <f>F1832*1.055</f>
        <v>0</v>
      </c>
    </row>
    <row r="1833" spans="1:8" ht="15" customHeight="1" x14ac:dyDescent="0.25">
      <c r="A1833" s="2" t="s">
        <v>1352</v>
      </c>
      <c r="B1833" s="2" t="s">
        <v>458</v>
      </c>
      <c r="C1833" s="3">
        <v>789.9</v>
      </c>
      <c r="D1833" s="3">
        <v>268.70999999999998</v>
      </c>
      <c r="E1833" s="3">
        <v>325.97000000000003</v>
      </c>
      <c r="F1833" s="3">
        <v>825</v>
      </c>
      <c r="G1833" s="5">
        <v>750</v>
      </c>
    </row>
    <row r="1834" spans="1:8" ht="15" customHeight="1" x14ac:dyDescent="0.25">
      <c r="A1834" s="2" t="s">
        <v>1353</v>
      </c>
      <c r="B1834" s="2" t="s">
        <v>1354</v>
      </c>
      <c r="C1834" s="3">
        <v>64133.95</v>
      </c>
      <c r="D1834" s="3">
        <v>15430.79</v>
      </c>
      <c r="E1834" s="3">
        <v>47807.22</v>
      </c>
      <c r="F1834" s="3">
        <v>55000</v>
      </c>
      <c r="G1834" s="5">
        <v>61000</v>
      </c>
    </row>
    <row r="1835" spans="1:8" ht="15" customHeight="1" x14ac:dyDescent="0.25">
      <c r="A1835" s="2" t="s">
        <v>1355</v>
      </c>
      <c r="B1835" s="2" t="s">
        <v>1356</v>
      </c>
      <c r="C1835" s="3">
        <v>483.28</v>
      </c>
      <c r="D1835" s="3">
        <v>57.64</v>
      </c>
      <c r="E1835" s="3">
        <v>2875.37</v>
      </c>
      <c r="F1835" s="3">
        <v>3000</v>
      </c>
      <c r="G1835" s="5">
        <v>3000</v>
      </c>
    </row>
    <row r="1836" spans="1:8" ht="15" customHeight="1" x14ac:dyDescent="0.25">
      <c r="A1836" s="2" t="s">
        <v>1357</v>
      </c>
      <c r="B1836" s="2" t="s">
        <v>1358</v>
      </c>
      <c r="C1836" s="3">
        <v>5155.9799999999996</v>
      </c>
      <c r="D1836" s="3">
        <v>3394.97</v>
      </c>
      <c r="E1836" s="3">
        <v>8252.59</v>
      </c>
      <c r="F1836" s="3">
        <v>10000</v>
      </c>
      <c r="G1836" s="5">
        <v>10000</v>
      </c>
    </row>
    <row r="1837" spans="1:8" x14ac:dyDescent="0.25">
      <c r="A1837" s="2" t="s">
        <v>1359</v>
      </c>
      <c r="B1837" s="2" t="s">
        <v>1360</v>
      </c>
      <c r="C1837" s="3">
        <v>6390.47</v>
      </c>
      <c r="D1837" s="3">
        <v>8279.68</v>
      </c>
      <c r="E1837" s="3">
        <v>8279.68</v>
      </c>
      <c r="F1837" s="3">
        <v>15000</v>
      </c>
      <c r="G1837" s="5">
        <v>15000</v>
      </c>
    </row>
    <row r="1838" spans="1:8" ht="15" customHeight="1" x14ac:dyDescent="0.25">
      <c r="A1838" s="2" t="s">
        <v>1361</v>
      </c>
      <c r="B1838" s="2" t="s">
        <v>1362</v>
      </c>
      <c r="C1838" s="3">
        <v>54787.66</v>
      </c>
      <c r="D1838" s="3">
        <v>48218.38</v>
      </c>
      <c r="E1838" s="3">
        <v>48218.38</v>
      </c>
      <c r="F1838" s="3">
        <v>120000</v>
      </c>
      <c r="G1838" s="5">
        <v>120000</v>
      </c>
    </row>
    <row r="1839" spans="1:8" ht="15" customHeight="1" x14ac:dyDescent="0.25">
      <c r="A1839" s="2" t="s">
        <v>1363</v>
      </c>
      <c r="B1839" s="2" t="s">
        <v>1364</v>
      </c>
      <c r="C1839" s="3">
        <v>0</v>
      </c>
      <c r="D1839" s="3">
        <v>0</v>
      </c>
      <c r="E1839" s="3">
        <v>0</v>
      </c>
      <c r="F1839" s="3">
        <v>25000</v>
      </c>
      <c r="G1839" s="5">
        <v>30000</v>
      </c>
      <c r="H1839" t="s">
        <v>3438</v>
      </c>
    </row>
    <row r="1840" spans="1:8" ht="15" customHeight="1" x14ac:dyDescent="0.25">
      <c r="A1840" s="2" t="s">
        <v>1365</v>
      </c>
      <c r="B1840" s="2" t="s">
        <v>1366</v>
      </c>
      <c r="C1840" s="3">
        <v>0</v>
      </c>
      <c r="D1840" s="3">
        <v>0</v>
      </c>
      <c r="E1840" s="3">
        <v>0</v>
      </c>
      <c r="F1840" s="3">
        <v>50000</v>
      </c>
      <c r="G1840" s="5">
        <v>65000</v>
      </c>
      <c r="H1840" t="s">
        <v>3438</v>
      </c>
    </row>
    <row r="1841" spans="1:8" ht="15" customHeight="1" x14ac:dyDescent="0.25">
      <c r="A1841" s="2" t="s">
        <v>1367</v>
      </c>
      <c r="B1841" s="2" t="s">
        <v>1368</v>
      </c>
      <c r="C1841" s="3">
        <v>10661</v>
      </c>
      <c r="D1841" s="3">
        <v>2163</v>
      </c>
      <c r="E1841" s="3">
        <v>4806.9799999999996</v>
      </c>
      <c r="F1841" s="3">
        <v>20000</v>
      </c>
      <c r="G1841" s="5">
        <v>20000</v>
      </c>
    </row>
    <row r="1842" spans="1:8" ht="15" customHeight="1" x14ac:dyDescent="0.25">
      <c r="A1842" s="2" t="s">
        <v>1369</v>
      </c>
      <c r="B1842" s="2" t="s">
        <v>1370</v>
      </c>
      <c r="C1842" s="3">
        <v>3793.63</v>
      </c>
      <c r="D1842" s="3">
        <v>893.03</v>
      </c>
      <c r="E1842" s="3">
        <v>910.64</v>
      </c>
      <c r="F1842" s="3">
        <v>3000</v>
      </c>
      <c r="G1842" s="5">
        <v>4000</v>
      </c>
    </row>
    <row r="1843" spans="1:8" x14ac:dyDescent="0.25">
      <c r="A1843" s="2" t="s">
        <v>1371</v>
      </c>
      <c r="B1843" s="2" t="s">
        <v>1372</v>
      </c>
      <c r="C1843" s="3">
        <v>54913.75</v>
      </c>
      <c r="D1843" s="3">
        <v>16566.82</v>
      </c>
      <c r="E1843" s="3">
        <v>31037.14</v>
      </c>
      <c r="F1843" s="3">
        <v>120000</v>
      </c>
      <c r="G1843" s="5">
        <v>120000</v>
      </c>
    </row>
    <row r="1844" spans="1:8" ht="15" customHeight="1" x14ac:dyDescent="0.25">
      <c r="A1844" s="2" t="s">
        <v>1373</v>
      </c>
      <c r="B1844" s="2" t="s">
        <v>604</v>
      </c>
      <c r="C1844" s="3">
        <v>877.47</v>
      </c>
      <c r="D1844" s="3">
        <v>0</v>
      </c>
      <c r="E1844" s="3">
        <v>0</v>
      </c>
      <c r="F1844" s="3">
        <v>0</v>
      </c>
      <c r="G1844" s="5">
        <v>0</v>
      </c>
    </row>
    <row r="1845" spans="1:8" ht="15" customHeight="1" x14ac:dyDescent="0.25">
      <c r="A1845" s="2" t="s">
        <v>1374</v>
      </c>
      <c r="B1845" s="2" t="s">
        <v>1375</v>
      </c>
      <c r="C1845" s="3">
        <v>79.97</v>
      </c>
      <c r="D1845" s="3">
        <v>26.12</v>
      </c>
      <c r="E1845" s="3">
        <v>97.69</v>
      </c>
      <c r="F1845" s="3">
        <v>1500</v>
      </c>
      <c r="G1845" s="5">
        <v>1500</v>
      </c>
    </row>
    <row r="1846" spans="1:8" ht="15" customHeight="1" x14ac:dyDescent="0.25">
      <c r="A1846" s="2" t="s">
        <v>1376</v>
      </c>
      <c r="B1846" s="2" t="s">
        <v>17</v>
      </c>
      <c r="C1846" s="3">
        <v>318.93</v>
      </c>
      <c r="D1846" s="3">
        <v>0</v>
      </c>
      <c r="E1846" s="3">
        <v>0</v>
      </c>
      <c r="F1846" s="3">
        <v>2000</v>
      </c>
      <c r="G1846" s="5">
        <v>2000</v>
      </c>
    </row>
    <row r="1847" spans="1:8" ht="15" customHeight="1" x14ac:dyDescent="0.25">
      <c r="A1847" s="2" t="s">
        <v>1377</v>
      </c>
      <c r="B1847" s="2" t="s">
        <v>305</v>
      </c>
      <c r="C1847" s="3">
        <v>185683.81</v>
      </c>
      <c r="D1847" s="3">
        <v>69242.02</v>
      </c>
      <c r="E1847" s="3">
        <v>121664.13</v>
      </c>
      <c r="F1847" s="3">
        <v>165000</v>
      </c>
      <c r="G1847" s="5">
        <v>190000</v>
      </c>
    </row>
    <row r="1848" spans="1:8" ht="15" customHeight="1" x14ac:dyDescent="0.25">
      <c r="A1848" s="2" t="s">
        <v>1378</v>
      </c>
      <c r="B1848" s="2" t="s">
        <v>1379</v>
      </c>
      <c r="C1848" s="3">
        <v>403.38</v>
      </c>
      <c r="D1848" s="3">
        <v>142.12</v>
      </c>
      <c r="E1848" s="3">
        <v>284.24</v>
      </c>
      <c r="F1848" s="3">
        <v>400</v>
      </c>
      <c r="G1848" s="5">
        <v>500</v>
      </c>
    </row>
    <row r="1849" spans="1:8" ht="15" customHeight="1" x14ac:dyDescent="0.25">
      <c r="A1849" s="2" t="s">
        <v>1380</v>
      </c>
      <c r="B1849" s="2" t="s">
        <v>1381</v>
      </c>
      <c r="C1849" s="3">
        <v>165.36</v>
      </c>
      <c r="D1849" s="3">
        <v>55.12</v>
      </c>
      <c r="E1849" s="3">
        <v>110.24</v>
      </c>
      <c r="F1849" s="3">
        <v>200</v>
      </c>
      <c r="G1849" s="5">
        <v>200</v>
      </c>
    </row>
    <row r="1850" spans="1:8" ht="15" customHeight="1" x14ac:dyDescent="0.25">
      <c r="A1850" s="2" t="s">
        <v>1382</v>
      </c>
      <c r="B1850" s="2" t="s">
        <v>947</v>
      </c>
      <c r="C1850" s="3">
        <v>372.98</v>
      </c>
      <c r="D1850" s="3">
        <v>151.58000000000001</v>
      </c>
      <c r="E1850" s="3">
        <v>271.95999999999998</v>
      </c>
      <c r="F1850" s="3">
        <v>1500</v>
      </c>
      <c r="G1850" s="5">
        <v>1500</v>
      </c>
    </row>
    <row r="1851" spans="1:8" x14ac:dyDescent="0.25">
      <c r="A1851" s="2" t="s">
        <v>1383</v>
      </c>
      <c r="B1851" s="2" t="s">
        <v>1384</v>
      </c>
      <c r="C1851" s="3">
        <v>31310.2</v>
      </c>
      <c r="D1851" s="3">
        <v>7180.84</v>
      </c>
      <c r="E1851" s="3">
        <v>7180.84</v>
      </c>
      <c r="F1851" s="3">
        <v>12000</v>
      </c>
      <c r="G1851" s="5">
        <v>55000</v>
      </c>
      <c r="H1851" t="s">
        <v>3439</v>
      </c>
    </row>
    <row r="1852" spans="1:8" ht="15" customHeight="1" x14ac:dyDescent="0.25">
      <c r="A1852" s="2" t="s">
        <v>1385</v>
      </c>
      <c r="B1852" s="2" t="s">
        <v>64</v>
      </c>
      <c r="C1852" s="3">
        <v>2154.66</v>
      </c>
      <c r="D1852" s="3">
        <v>995.3</v>
      </c>
      <c r="E1852" s="3">
        <v>1345.54</v>
      </c>
      <c r="F1852" s="3">
        <v>2500</v>
      </c>
      <c r="G1852" s="5">
        <v>2500</v>
      </c>
    </row>
    <row r="1853" spans="1:8" ht="15" customHeight="1" x14ac:dyDescent="0.25">
      <c r="A1853" s="2" t="s">
        <v>1386</v>
      </c>
      <c r="B1853" s="2" t="s">
        <v>624</v>
      </c>
      <c r="C1853" s="3">
        <v>851.7</v>
      </c>
      <c r="D1853" s="3">
        <v>441.86</v>
      </c>
      <c r="E1853" s="3">
        <v>441.86</v>
      </c>
      <c r="F1853" s="3">
        <v>2000</v>
      </c>
      <c r="G1853" s="5">
        <v>3500</v>
      </c>
      <c r="H1853" s="41" t="s">
        <v>3440</v>
      </c>
    </row>
    <row r="1854" spans="1:8" ht="15" customHeight="1" x14ac:dyDescent="0.25">
      <c r="A1854" s="2" t="s">
        <v>1387</v>
      </c>
      <c r="B1854" s="2" t="s">
        <v>1388</v>
      </c>
      <c r="C1854" s="3">
        <v>1972.8</v>
      </c>
      <c r="D1854" s="3">
        <v>79</v>
      </c>
      <c r="E1854" s="3">
        <v>589</v>
      </c>
      <c r="F1854" s="3">
        <v>2500</v>
      </c>
      <c r="G1854" s="5">
        <v>3000</v>
      </c>
    </row>
    <row r="1855" spans="1:8" ht="15" customHeight="1" x14ac:dyDescent="0.25">
      <c r="A1855" s="2" t="s">
        <v>1389</v>
      </c>
      <c r="B1855" s="2" t="s">
        <v>1390</v>
      </c>
      <c r="C1855" s="3">
        <v>9607.2000000000007</v>
      </c>
      <c r="D1855" s="3">
        <v>7553.29</v>
      </c>
      <c r="E1855" s="3">
        <v>7553.29</v>
      </c>
      <c r="F1855" s="3">
        <v>8000</v>
      </c>
      <c r="G1855" s="5">
        <v>10000</v>
      </c>
    </row>
    <row r="1856" spans="1:8" ht="15" customHeight="1" x14ac:dyDescent="0.25">
      <c r="A1856" s="1" t="s">
        <v>1391</v>
      </c>
      <c r="B1856" s="1" t="s">
        <v>2</v>
      </c>
      <c r="C1856" s="4">
        <v>793795.17</v>
      </c>
      <c r="D1856" s="4">
        <v>350704.89</v>
      </c>
      <c r="E1856" s="4">
        <f>SUM(E1821:E1855)</f>
        <v>587884.03</v>
      </c>
      <c r="F1856" s="6">
        <f>SUM(F1821:F1855)</f>
        <v>1007564.96</v>
      </c>
      <c r="G1856" s="6">
        <f>SUM(G1821:G1855)</f>
        <v>1151413.04305</v>
      </c>
    </row>
    <row r="1857" spans="1:8" x14ac:dyDescent="0.25">
      <c r="A1857" s="2" t="s">
        <v>2</v>
      </c>
      <c r="B1857" s="2" t="s">
        <v>2</v>
      </c>
      <c r="C1857" s="2" t="s">
        <v>2</v>
      </c>
      <c r="D1857" s="2" t="s">
        <v>2</v>
      </c>
      <c r="E1857" s="2"/>
      <c r="F1857" s="2" t="s">
        <v>2</v>
      </c>
      <c r="G1857" s="2" t="s">
        <v>2</v>
      </c>
    </row>
    <row r="1858" spans="1:8" ht="15" customHeight="1" x14ac:dyDescent="0.25">
      <c r="A1858" s="2" t="s">
        <v>1392</v>
      </c>
      <c r="B1858" s="2" t="s">
        <v>1393</v>
      </c>
      <c r="C1858" s="3">
        <v>0</v>
      </c>
      <c r="D1858" s="3">
        <v>0</v>
      </c>
      <c r="E1858" s="3">
        <v>0</v>
      </c>
      <c r="F1858" s="3">
        <v>0</v>
      </c>
      <c r="G1858" s="5">
        <v>0</v>
      </c>
    </row>
    <row r="1859" spans="1:8" ht="15" customHeight="1" x14ac:dyDescent="0.25">
      <c r="A1859" s="2"/>
      <c r="B1859" s="2"/>
      <c r="C1859" s="3"/>
      <c r="D1859" s="3"/>
      <c r="E1859" s="3"/>
      <c r="F1859" s="3"/>
      <c r="G1859" s="5"/>
    </row>
    <row r="1860" spans="1:8" ht="15" customHeight="1" x14ac:dyDescent="0.25">
      <c r="A1860" s="1" t="s">
        <v>557</v>
      </c>
      <c r="B1860" s="1" t="s">
        <v>2</v>
      </c>
    </row>
    <row r="1861" spans="1:8" x14ac:dyDescent="0.25">
      <c r="A1861" s="2" t="s">
        <v>1394</v>
      </c>
      <c r="B1861" s="2" t="s">
        <v>1395</v>
      </c>
      <c r="C1861" s="3">
        <v>90.53</v>
      </c>
      <c r="D1861" s="3">
        <v>0</v>
      </c>
      <c r="E1861" s="3">
        <v>0</v>
      </c>
      <c r="F1861" s="3">
        <v>0</v>
      </c>
      <c r="G1861" s="5">
        <v>0</v>
      </c>
    </row>
    <row r="1862" spans="1:8" x14ac:dyDescent="0.25">
      <c r="A1862" s="2" t="s">
        <v>1396</v>
      </c>
      <c r="B1862" s="2" t="s">
        <v>1397</v>
      </c>
      <c r="C1862" s="3">
        <v>270</v>
      </c>
      <c r="D1862" s="3">
        <v>2693</v>
      </c>
      <c r="E1862" s="3">
        <v>13395.88</v>
      </c>
      <c r="F1862" s="3">
        <v>450000</v>
      </c>
      <c r="G1862" s="5">
        <v>800000</v>
      </c>
      <c r="H1862" s="57" t="s">
        <v>3441</v>
      </c>
    </row>
    <row r="1863" spans="1:8" x14ac:dyDescent="0.25">
      <c r="A1863" s="2" t="s">
        <v>1398</v>
      </c>
      <c r="B1863" s="2" t="s">
        <v>1399</v>
      </c>
      <c r="C1863" s="3">
        <v>0</v>
      </c>
      <c r="D1863" s="3">
        <v>0</v>
      </c>
      <c r="E1863" s="3">
        <v>0</v>
      </c>
      <c r="F1863" s="3">
        <v>0</v>
      </c>
      <c r="G1863" s="5">
        <v>0</v>
      </c>
    </row>
    <row r="1864" spans="1:8" ht="15" customHeight="1" x14ac:dyDescent="0.25">
      <c r="A1864" s="2" t="s">
        <v>1400</v>
      </c>
      <c r="B1864" s="2" t="s">
        <v>850</v>
      </c>
      <c r="C1864" s="3">
        <v>0</v>
      </c>
      <c r="D1864" s="3">
        <v>0</v>
      </c>
      <c r="E1864" s="3">
        <v>0</v>
      </c>
      <c r="F1864" s="3">
        <v>0</v>
      </c>
      <c r="G1864" s="5">
        <v>0</v>
      </c>
    </row>
    <row r="1865" spans="1:8" ht="15" customHeight="1" x14ac:dyDescent="0.25">
      <c r="A1865" s="2" t="s">
        <v>1401</v>
      </c>
      <c r="B1865" s="2" t="s">
        <v>1402</v>
      </c>
      <c r="C1865" s="3">
        <v>0</v>
      </c>
      <c r="D1865" s="3">
        <v>0</v>
      </c>
      <c r="E1865" s="3">
        <v>0</v>
      </c>
      <c r="F1865" s="3">
        <v>0</v>
      </c>
      <c r="G1865" s="5">
        <v>0</v>
      </c>
    </row>
    <row r="1866" spans="1:8" ht="15" customHeight="1" x14ac:dyDescent="0.25">
      <c r="A1866" s="2" t="s">
        <v>1403</v>
      </c>
      <c r="B1866" s="2" t="s">
        <v>1404</v>
      </c>
      <c r="C1866" s="3">
        <v>0</v>
      </c>
      <c r="D1866" s="3">
        <v>0</v>
      </c>
      <c r="E1866" s="3">
        <v>0</v>
      </c>
      <c r="F1866" s="3">
        <v>0</v>
      </c>
      <c r="G1866" s="5">
        <v>25000</v>
      </c>
    </row>
    <row r="1867" spans="1:8" x14ac:dyDescent="0.25">
      <c r="A1867" s="2" t="s">
        <v>1405</v>
      </c>
      <c r="B1867" s="2" t="s">
        <v>1406</v>
      </c>
      <c r="C1867" s="3">
        <v>0</v>
      </c>
      <c r="D1867" s="3">
        <v>0</v>
      </c>
      <c r="E1867" s="3">
        <v>0</v>
      </c>
      <c r="F1867" s="3">
        <v>0</v>
      </c>
      <c r="G1867" s="5">
        <v>0</v>
      </c>
    </row>
    <row r="1868" spans="1:8" ht="15" customHeight="1" x14ac:dyDescent="0.25">
      <c r="A1868" s="2" t="s">
        <v>1407</v>
      </c>
      <c r="B1868" s="2" t="s">
        <v>1408</v>
      </c>
      <c r="C1868" s="3">
        <v>0</v>
      </c>
      <c r="D1868" s="3">
        <v>0</v>
      </c>
      <c r="E1868" s="3">
        <v>0</v>
      </c>
      <c r="F1868" s="3">
        <v>0</v>
      </c>
      <c r="G1868" s="5">
        <v>0</v>
      </c>
    </row>
    <row r="1869" spans="1:8" ht="15" customHeight="1" x14ac:dyDescent="0.25">
      <c r="A1869" s="2" t="s">
        <v>1409</v>
      </c>
      <c r="B1869" s="2" t="s">
        <v>1410</v>
      </c>
      <c r="C1869" s="3">
        <v>0</v>
      </c>
      <c r="D1869" s="3">
        <v>0</v>
      </c>
      <c r="E1869" s="3">
        <v>0</v>
      </c>
      <c r="F1869" s="3">
        <v>0</v>
      </c>
      <c r="G1869" s="5">
        <v>0</v>
      </c>
    </row>
    <row r="1870" spans="1:8" ht="15" customHeight="1" x14ac:dyDescent="0.25">
      <c r="A1870" s="2" t="s">
        <v>1411</v>
      </c>
      <c r="B1870" s="2" t="s">
        <v>1412</v>
      </c>
      <c r="C1870" s="3">
        <v>0</v>
      </c>
      <c r="D1870" s="3">
        <v>300.27</v>
      </c>
      <c r="E1870" s="3">
        <v>300.27</v>
      </c>
      <c r="F1870" s="3">
        <v>75000</v>
      </c>
      <c r="G1870" s="5">
        <v>75000</v>
      </c>
    </row>
    <row r="1871" spans="1:8" ht="15" customHeight="1" x14ac:dyDescent="0.25">
      <c r="A1871" s="2" t="s">
        <v>1413</v>
      </c>
      <c r="B1871" s="2" t="s">
        <v>1414</v>
      </c>
      <c r="C1871" s="3">
        <v>0</v>
      </c>
      <c r="D1871" s="3">
        <v>7333</v>
      </c>
      <c r="E1871" s="3">
        <v>7333</v>
      </c>
      <c r="F1871" s="3">
        <v>0</v>
      </c>
      <c r="G1871" s="5">
        <v>0</v>
      </c>
    </row>
    <row r="1872" spans="1:8" ht="15" customHeight="1" x14ac:dyDescent="0.25">
      <c r="A1872" s="2" t="s">
        <v>1415</v>
      </c>
      <c r="B1872" s="2" t="s">
        <v>1416</v>
      </c>
      <c r="C1872" s="3">
        <v>0</v>
      </c>
      <c r="D1872" s="3">
        <v>0</v>
      </c>
      <c r="E1872" s="3">
        <v>0</v>
      </c>
      <c r="F1872" s="3">
        <v>0</v>
      </c>
      <c r="G1872" s="5">
        <v>0</v>
      </c>
    </row>
    <row r="1873" spans="1:7" ht="15" customHeight="1" x14ac:dyDescent="0.25">
      <c r="A1873" s="2" t="s">
        <v>1417</v>
      </c>
      <c r="B1873" s="2" t="s">
        <v>1418</v>
      </c>
      <c r="C1873" s="3">
        <v>0</v>
      </c>
      <c r="D1873" s="3">
        <v>0</v>
      </c>
      <c r="E1873" s="3">
        <v>106816.59</v>
      </c>
      <c r="F1873" s="3">
        <v>50000</v>
      </c>
      <c r="G1873" s="5">
        <v>100000</v>
      </c>
    </row>
    <row r="1874" spans="1:7" ht="15" customHeight="1" x14ac:dyDescent="0.25">
      <c r="A1874" s="2" t="s">
        <v>1419</v>
      </c>
      <c r="B1874" s="2" t="s">
        <v>1420</v>
      </c>
      <c r="C1874" s="3">
        <v>0</v>
      </c>
      <c r="D1874" s="3">
        <v>0</v>
      </c>
      <c r="E1874" s="3">
        <v>0</v>
      </c>
      <c r="F1874" s="3">
        <v>0</v>
      </c>
      <c r="G1874" s="5">
        <v>0</v>
      </c>
    </row>
    <row r="1875" spans="1:7" ht="15" customHeight="1" x14ac:dyDescent="0.25">
      <c r="A1875" s="2" t="s">
        <v>1421</v>
      </c>
      <c r="B1875" s="2" t="s">
        <v>1422</v>
      </c>
      <c r="C1875" s="3">
        <v>0</v>
      </c>
      <c r="D1875" s="3">
        <v>0</v>
      </c>
      <c r="E1875" s="3">
        <v>0</v>
      </c>
      <c r="F1875" s="3">
        <v>0</v>
      </c>
      <c r="G1875" s="5">
        <v>0</v>
      </c>
    </row>
    <row r="1876" spans="1:7" ht="15" customHeight="1" x14ac:dyDescent="0.25">
      <c r="A1876" s="2" t="s">
        <v>1423</v>
      </c>
      <c r="B1876" s="2" t="s">
        <v>1424</v>
      </c>
      <c r="C1876" s="3">
        <v>495.63</v>
      </c>
      <c r="D1876" s="3">
        <v>0</v>
      </c>
      <c r="E1876" s="3">
        <v>0</v>
      </c>
      <c r="F1876" s="3">
        <v>0</v>
      </c>
      <c r="G1876" s="5">
        <v>0</v>
      </c>
    </row>
    <row r="1877" spans="1:7" ht="15" customHeight="1" x14ac:dyDescent="0.25">
      <c r="A1877" s="2" t="s">
        <v>1425</v>
      </c>
      <c r="B1877" s="2" t="s">
        <v>1426</v>
      </c>
      <c r="C1877" s="3">
        <v>0</v>
      </c>
      <c r="D1877" s="3">
        <v>0</v>
      </c>
      <c r="E1877" s="3">
        <v>0</v>
      </c>
      <c r="F1877" s="3">
        <v>0</v>
      </c>
      <c r="G1877" s="5">
        <v>0</v>
      </c>
    </row>
    <row r="1878" spans="1:7" ht="15" customHeight="1" x14ac:dyDescent="0.25">
      <c r="A1878" s="2" t="s">
        <v>1427</v>
      </c>
      <c r="B1878" s="2" t="s">
        <v>1428</v>
      </c>
      <c r="C1878" s="3">
        <v>41556.53</v>
      </c>
      <c r="D1878" s="3">
        <v>64933</v>
      </c>
      <c r="E1878" s="3">
        <v>96246.16</v>
      </c>
      <c r="F1878" s="3">
        <v>0</v>
      </c>
      <c r="G1878" s="5">
        <v>0</v>
      </c>
    </row>
    <row r="1879" spans="1:7" ht="15" customHeight="1" x14ac:dyDescent="0.25">
      <c r="A1879" s="2" t="s">
        <v>1429</v>
      </c>
      <c r="B1879" s="2" t="s">
        <v>1430</v>
      </c>
      <c r="C1879" s="3">
        <v>61292.27</v>
      </c>
      <c r="D1879" s="3">
        <v>0</v>
      </c>
      <c r="E1879" s="3">
        <v>0</v>
      </c>
      <c r="F1879" s="3">
        <v>0</v>
      </c>
      <c r="G1879" s="5">
        <v>0</v>
      </c>
    </row>
    <row r="1880" spans="1:7" ht="15" customHeight="1" x14ac:dyDescent="0.25">
      <c r="A1880" s="2" t="s">
        <v>1431</v>
      </c>
      <c r="B1880" s="2" t="s">
        <v>1432</v>
      </c>
      <c r="C1880" s="3">
        <v>0</v>
      </c>
      <c r="D1880" s="3">
        <v>0</v>
      </c>
      <c r="E1880" s="3">
        <v>0</v>
      </c>
      <c r="F1880" s="3">
        <v>0</v>
      </c>
      <c r="G1880" s="5">
        <v>0</v>
      </c>
    </row>
    <row r="1881" spans="1:7" ht="15" customHeight="1" x14ac:dyDescent="0.25">
      <c r="A1881" s="2" t="s">
        <v>1433</v>
      </c>
      <c r="B1881" s="2" t="s">
        <v>1434</v>
      </c>
      <c r="C1881" s="3">
        <v>24600.38</v>
      </c>
      <c r="D1881" s="3">
        <v>12703.34</v>
      </c>
      <c r="E1881" s="3">
        <v>16929.77</v>
      </c>
      <c r="F1881" s="3">
        <v>750000</v>
      </c>
      <c r="G1881" s="5">
        <v>800000</v>
      </c>
    </row>
    <row r="1882" spans="1:7" ht="15" customHeight="1" x14ac:dyDescent="0.25">
      <c r="A1882" s="2" t="s">
        <v>1435</v>
      </c>
      <c r="B1882" s="2" t="s">
        <v>1436</v>
      </c>
      <c r="C1882" s="3">
        <v>766.26</v>
      </c>
      <c r="D1882" s="3">
        <v>850.09</v>
      </c>
      <c r="E1882" s="3">
        <v>1057.04</v>
      </c>
      <c r="F1882" s="3">
        <v>0</v>
      </c>
      <c r="G1882" s="5">
        <v>0</v>
      </c>
    </row>
    <row r="1883" spans="1:7" ht="15" customHeight="1" x14ac:dyDescent="0.25">
      <c r="A1883" s="2" t="s">
        <v>1437</v>
      </c>
      <c r="B1883" s="2" t="s">
        <v>1438</v>
      </c>
      <c r="C1883" s="3">
        <v>0</v>
      </c>
      <c r="D1883" s="3">
        <v>12271.25</v>
      </c>
      <c r="E1883" s="3">
        <v>13223.05</v>
      </c>
      <c r="F1883" s="3">
        <v>1250000</v>
      </c>
      <c r="G1883" s="5">
        <v>0</v>
      </c>
    </row>
    <row r="1884" spans="1:7" ht="15" customHeight="1" x14ac:dyDescent="0.25">
      <c r="A1884" s="1" t="s">
        <v>560</v>
      </c>
      <c r="B1884" s="1" t="s">
        <v>2</v>
      </c>
      <c r="C1884" s="4">
        <v>129071.6</v>
      </c>
      <c r="D1884" s="4">
        <v>101083.95</v>
      </c>
      <c r="E1884" s="4">
        <f>SUM(E1861:E1883)</f>
        <v>255301.75999999998</v>
      </c>
      <c r="F1884" s="6">
        <f>SUM(F1861:F1883)</f>
        <v>2575000</v>
      </c>
      <c r="G1884" s="6">
        <f>SUM(G1861:G1883)</f>
        <v>1800000</v>
      </c>
    </row>
    <row r="1885" spans="1:7" x14ac:dyDescent="0.25">
      <c r="A1885" s="1" t="s">
        <v>2</v>
      </c>
      <c r="B1885" s="1" t="s">
        <v>2</v>
      </c>
      <c r="C1885" s="1" t="s">
        <v>2</v>
      </c>
      <c r="D1885" s="1" t="s">
        <v>2</v>
      </c>
      <c r="E1885" s="1"/>
      <c r="F1885" s="1" t="s">
        <v>2</v>
      </c>
      <c r="G1885" s="1" t="s">
        <v>2</v>
      </c>
    </row>
    <row r="1886" spans="1:7" ht="15" customHeight="1" x14ac:dyDescent="0.25">
      <c r="A1886" s="1" t="s">
        <v>706</v>
      </c>
      <c r="B1886" s="1" t="s">
        <v>2</v>
      </c>
    </row>
    <row r="1887" spans="1:7" x14ac:dyDescent="0.25">
      <c r="A1887" s="2" t="s">
        <v>1439</v>
      </c>
      <c r="B1887" s="2" t="s">
        <v>1440</v>
      </c>
      <c r="C1887" s="3">
        <v>373517.74</v>
      </c>
      <c r="D1887" s="3">
        <v>0</v>
      </c>
      <c r="E1887" s="3">
        <v>40614</v>
      </c>
      <c r="F1887" s="3">
        <v>373548</v>
      </c>
      <c r="G1887" s="59">
        <v>0</v>
      </c>
    </row>
    <row r="1888" spans="1:7" ht="15" customHeight="1" x14ac:dyDescent="0.25">
      <c r="A1888" s="2" t="s">
        <v>1441</v>
      </c>
      <c r="B1888" s="2" t="s">
        <v>1023</v>
      </c>
      <c r="C1888" s="3">
        <v>0</v>
      </c>
      <c r="D1888" s="3">
        <v>0</v>
      </c>
      <c r="E1888" s="3">
        <v>0</v>
      </c>
      <c r="F1888" s="3">
        <v>20000</v>
      </c>
      <c r="G1888" s="59">
        <v>0</v>
      </c>
    </row>
    <row r="1889" spans="1:7" ht="15" customHeight="1" x14ac:dyDescent="0.25">
      <c r="A1889" s="2" t="s">
        <v>1442</v>
      </c>
      <c r="B1889" s="2" t="s">
        <v>1027</v>
      </c>
      <c r="C1889" s="3">
        <v>0</v>
      </c>
      <c r="D1889" s="3">
        <v>0</v>
      </c>
      <c r="E1889" s="3">
        <v>0</v>
      </c>
      <c r="F1889" s="3">
        <v>10000</v>
      </c>
      <c r="G1889" s="59">
        <v>0</v>
      </c>
    </row>
    <row r="1890" spans="1:7" ht="15" customHeight="1" x14ac:dyDescent="0.25">
      <c r="A1890" s="2" t="s">
        <v>1443</v>
      </c>
      <c r="B1890" s="2" t="s">
        <v>1029</v>
      </c>
      <c r="C1890" s="3">
        <v>0</v>
      </c>
      <c r="D1890" s="3">
        <v>0</v>
      </c>
      <c r="E1890" s="3">
        <v>0</v>
      </c>
      <c r="F1890" s="3">
        <v>20000</v>
      </c>
      <c r="G1890" s="59">
        <v>0</v>
      </c>
    </row>
    <row r="1891" spans="1:7" ht="15" customHeight="1" x14ac:dyDescent="0.25">
      <c r="A1891" s="2" t="s">
        <v>1444</v>
      </c>
      <c r="B1891" s="2" t="s">
        <v>1031</v>
      </c>
      <c r="C1891" s="3">
        <v>0</v>
      </c>
      <c r="D1891" s="3">
        <v>0</v>
      </c>
      <c r="E1891" s="3">
        <v>0</v>
      </c>
      <c r="F1891" s="3">
        <v>12500</v>
      </c>
      <c r="G1891" s="59">
        <v>0</v>
      </c>
    </row>
    <row r="1892" spans="1:7" ht="15" customHeight="1" x14ac:dyDescent="0.25">
      <c r="A1892" s="2" t="s">
        <v>1445</v>
      </c>
      <c r="B1892" s="2" t="s">
        <v>1033</v>
      </c>
      <c r="C1892" s="3">
        <v>0</v>
      </c>
      <c r="D1892" s="3">
        <v>0</v>
      </c>
      <c r="E1892" s="3">
        <v>0</v>
      </c>
      <c r="F1892" s="3">
        <v>47500</v>
      </c>
      <c r="G1892" s="59">
        <v>0</v>
      </c>
    </row>
    <row r="1893" spans="1:7" x14ac:dyDescent="0.25">
      <c r="A1893" s="2" t="s">
        <v>1446</v>
      </c>
      <c r="B1893" s="2" t="s">
        <v>1035</v>
      </c>
      <c r="C1893" s="3">
        <v>0</v>
      </c>
      <c r="D1893" s="3">
        <v>0</v>
      </c>
      <c r="E1893" s="3">
        <v>0</v>
      </c>
      <c r="F1893" s="3">
        <v>2500</v>
      </c>
      <c r="G1893" s="59">
        <v>0</v>
      </c>
    </row>
    <row r="1894" spans="1:7" ht="15" customHeight="1" x14ac:dyDescent="0.25">
      <c r="A1894" s="2" t="s">
        <v>1447</v>
      </c>
      <c r="B1894" s="2" t="s">
        <v>1037</v>
      </c>
      <c r="C1894" s="3">
        <v>0</v>
      </c>
      <c r="D1894" s="3">
        <v>0</v>
      </c>
      <c r="E1894" s="3">
        <v>0</v>
      </c>
      <c r="F1894" s="3">
        <v>1750</v>
      </c>
      <c r="G1894" s="59">
        <v>0</v>
      </c>
    </row>
    <row r="1895" spans="1:7" ht="15" customHeight="1" x14ac:dyDescent="0.25">
      <c r="A1895" s="2" t="s">
        <v>1448</v>
      </c>
      <c r="B1895" s="2" t="s">
        <v>1007</v>
      </c>
      <c r="C1895" s="3">
        <v>0</v>
      </c>
      <c r="D1895" s="3">
        <v>0</v>
      </c>
      <c r="E1895" s="3">
        <v>0</v>
      </c>
      <c r="F1895" s="3">
        <v>0</v>
      </c>
      <c r="G1895" s="59">
        <v>0</v>
      </c>
    </row>
    <row r="1896" spans="1:7" x14ac:dyDescent="0.25">
      <c r="A1896" s="2" t="s">
        <v>1449</v>
      </c>
      <c r="B1896" s="2" t="s">
        <v>1009</v>
      </c>
      <c r="C1896" s="3">
        <v>23850.65</v>
      </c>
      <c r="D1896" s="3">
        <v>0</v>
      </c>
      <c r="E1896" s="3">
        <v>0</v>
      </c>
      <c r="F1896" s="3">
        <v>0</v>
      </c>
      <c r="G1896" s="59">
        <v>0</v>
      </c>
    </row>
    <row r="1897" spans="1:7" x14ac:dyDescent="0.25">
      <c r="A1897" s="2" t="s">
        <v>1450</v>
      </c>
      <c r="B1897" s="2" t="s">
        <v>1011</v>
      </c>
      <c r="C1897" s="3">
        <v>0</v>
      </c>
      <c r="D1897" s="3">
        <v>0</v>
      </c>
      <c r="E1897" s="3">
        <v>0</v>
      </c>
      <c r="F1897" s="3">
        <v>0</v>
      </c>
      <c r="G1897" s="59">
        <v>0</v>
      </c>
    </row>
    <row r="1898" spans="1:7" ht="15" customHeight="1" x14ac:dyDescent="0.25">
      <c r="A1898" s="2" t="s">
        <v>1451</v>
      </c>
      <c r="B1898" s="2" t="s">
        <v>1013</v>
      </c>
      <c r="C1898" s="3">
        <v>35286.080000000002</v>
      </c>
      <c r="D1898" s="3">
        <v>0</v>
      </c>
      <c r="E1898" s="3">
        <v>0</v>
      </c>
      <c r="F1898" s="3">
        <v>0</v>
      </c>
      <c r="G1898" s="59">
        <v>0</v>
      </c>
    </row>
    <row r="1899" spans="1:7" ht="15" customHeight="1" x14ac:dyDescent="0.25">
      <c r="A1899" s="2" t="s">
        <v>1452</v>
      </c>
      <c r="B1899" s="2" t="s">
        <v>1015</v>
      </c>
      <c r="C1899" s="3">
        <v>8581.1200000000008</v>
      </c>
      <c r="D1899" s="3">
        <v>0</v>
      </c>
      <c r="E1899" s="3">
        <v>0</v>
      </c>
      <c r="F1899" s="3">
        <v>0</v>
      </c>
      <c r="G1899" s="59">
        <v>0</v>
      </c>
    </row>
    <row r="1900" spans="1:7" ht="15" customHeight="1" x14ac:dyDescent="0.25">
      <c r="A1900" s="2" t="s">
        <v>1453</v>
      </c>
      <c r="B1900" s="2" t="s">
        <v>1017</v>
      </c>
      <c r="C1900" s="3">
        <v>0</v>
      </c>
      <c r="D1900" s="3">
        <v>0</v>
      </c>
      <c r="E1900" s="3">
        <v>0</v>
      </c>
      <c r="F1900" s="3">
        <v>0</v>
      </c>
      <c r="G1900" s="59">
        <v>0</v>
      </c>
    </row>
    <row r="1901" spans="1:7" ht="15" customHeight="1" x14ac:dyDescent="0.25">
      <c r="A1901" s="2" t="s">
        <v>1454</v>
      </c>
      <c r="B1901" s="2" t="s">
        <v>1455</v>
      </c>
      <c r="C1901" s="3">
        <v>0</v>
      </c>
      <c r="D1901" s="3">
        <v>0</v>
      </c>
      <c r="E1901" s="3">
        <v>0</v>
      </c>
      <c r="F1901" s="3">
        <v>0</v>
      </c>
      <c r="G1901" s="59">
        <v>0</v>
      </c>
    </row>
    <row r="1902" spans="1:7" ht="15" customHeight="1" x14ac:dyDescent="0.25">
      <c r="A1902" s="2" t="s">
        <v>1456</v>
      </c>
      <c r="B1902" s="2" t="s">
        <v>1457</v>
      </c>
      <c r="C1902" s="3">
        <v>74500</v>
      </c>
      <c r="D1902" s="3">
        <v>0</v>
      </c>
      <c r="E1902" s="3">
        <v>71625</v>
      </c>
      <c r="F1902" s="3">
        <v>81750</v>
      </c>
      <c r="G1902" s="59">
        <v>0</v>
      </c>
    </row>
    <row r="1903" spans="1:7" ht="15" customHeight="1" x14ac:dyDescent="0.25">
      <c r="A1903" s="2" t="s">
        <v>1458</v>
      </c>
      <c r="B1903" s="2" t="s">
        <v>1459</v>
      </c>
      <c r="C1903" s="3">
        <v>13329.77</v>
      </c>
      <c r="D1903" s="3">
        <v>0</v>
      </c>
      <c r="E1903" s="3">
        <v>81056.89</v>
      </c>
      <c r="F1903" s="3">
        <v>10370</v>
      </c>
      <c r="G1903" s="59">
        <v>0</v>
      </c>
    </row>
    <row r="1904" spans="1:7" x14ac:dyDescent="0.25">
      <c r="A1904" s="2" t="s">
        <v>1460</v>
      </c>
      <c r="B1904" s="2" t="s">
        <v>1461</v>
      </c>
      <c r="C1904" s="3">
        <v>460114.8</v>
      </c>
      <c r="D1904" s="3">
        <v>0</v>
      </c>
      <c r="E1904" s="3">
        <v>230208</v>
      </c>
      <c r="F1904" s="3">
        <v>460030</v>
      </c>
      <c r="G1904" s="59">
        <v>0</v>
      </c>
    </row>
    <row r="1905" spans="1:8" ht="15" customHeight="1" x14ac:dyDescent="0.25">
      <c r="A1905" s="1" t="s">
        <v>737</v>
      </c>
      <c r="B1905" s="1" t="s">
        <v>2</v>
      </c>
      <c r="C1905" s="4">
        <v>989180.16</v>
      </c>
      <c r="D1905" s="4">
        <v>0</v>
      </c>
      <c r="E1905" s="4">
        <f>SUM(E1887:E1904)</f>
        <v>423503.89</v>
      </c>
      <c r="F1905" s="6">
        <f>SUM(F1887:F1904)</f>
        <v>1039948</v>
      </c>
      <c r="G1905" s="6">
        <f>SUM(G1887:G1904)</f>
        <v>0</v>
      </c>
    </row>
    <row r="1906" spans="1:8" x14ac:dyDescent="0.25">
      <c r="A1906" s="1" t="s">
        <v>2</v>
      </c>
      <c r="B1906" s="1" t="s">
        <v>2</v>
      </c>
      <c r="C1906" s="1" t="s">
        <v>2</v>
      </c>
      <c r="D1906" s="1" t="s">
        <v>2</v>
      </c>
      <c r="E1906" s="1"/>
      <c r="F1906" s="1" t="s">
        <v>2</v>
      </c>
      <c r="G1906" s="1" t="s">
        <v>2</v>
      </c>
    </row>
    <row r="1907" spans="1:8" ht="15" customHeight="1" x14ac:dyDescent="0.25">
      <c r="A1907" s="1" t="s">
        <v>698</v>
      </c>
      <c r="B1907" s="1" t="s">
        <v>2</v>
      </c>
    </row>
    <row r="1908" spans="1:8" ht="15" customHeight="1" x14ac:dyDescent="0.25">
      <c r="A1908" s="2" t="s">
        <v>1462</v>
      </c>
      <c r="B1908" s="2" t="s">
        <v>700</v>
      </c>
      <c r="C1908" s="3">
        <v>743.13</v>
      </c>
      <c r="D1908" s="3">
        <v>3206.32</v>
      </c>
      <c r="E1908" s="3">
        <v>4121.93</v>
      </c>
      <c r="F1908" s="3">
        <v>2000</v>
      </c>
      <c r="G1908" s="5">
        <v>5000</v>
      </c>
    </row>
    <row r="1909" spans="1:8" ht="15" customHeight="1" x14ac:dyDescent="0.25">
      <c r="A1909" s="2" t="s">
        <v>1463</v>
      </c>
      <c r="B1909" s="2" t="s">
        <v>704</v>
      </c>
      <c r="C1909" s="3">
        <v>4088.79</v>
      </c>
      <c r="D1909" s="3">
        <v>0</v>
      </c>
      <c r="E1909" s="3">
        <v>0</v>
      </c>
      <c r="F1909" s="3">
        <v>0</v>
      </c>
      <c r="G1909" s="5">
        <v>0</v>
      </c>
    </row>
    <row r="1910" spans="1:8" ht="15" customHeight="1" x14ac:dyDescent="0.25">
      <c r="A1910" s="1" t="s">
        <v>705</v>
      </c>
      <c r="B1910" s="1" t="s">
        <v>2</v>
      </c>
      <c r="C1910" s="4">
        <v>4831.92</v>
      </c>
      <c r="D1910" s="4">
        <v>3206.32</v>
      </c>
      <c r="E1910" s="4">
        <f>E1908+E1909</f>
        <v>4121.93</v>
      </c>
      <c r="F1910" s="6">
        <f>SUM(F1908:F1909)</f>
        <v>2000</v>
      </c>
      <c r="G1910" s="6">
        <f>SUM(G1908:G1909)</f>
        <v>5000</v>
      </c>
    </row>
    <row r="1911" spans="1:8" x14ac:dyDescent="0.25">
      <c r="A1911" s="1" t="s">
        <v>2</v>
      </c>
      <c r="B1911" s="1" t="s">
        <v>2</v>
      </c>
      <c r="C1911" s="1" t="s">
        <v>2</v>
      </c>
      <c r="D1911" s="1" t="s">
        <v>2</v>
      </c>
      <c r="E1911" s="1"/>
      <c r="F1911" s="1" t="s">
        <v>2</v>
      </c>
      <c r="G1911" s="1" t="s">
        <v>2</v>
      </c>
    </row>
    <row r="1912" spans="1:8" ht="15" customHeight="1" x14ac:dyDescent="0.25">
      <c r="A1912" s="1" t="s">
        <v>556</v>
      </c>
      <c r="B1912" s="1" t="s">
        <v>2</v>
      </c>
    </row>
    <row r="1913" spans="1:8" ht="15" customHeight="1" x14ac:dyDescent="0.25">
      <c r="A1913" s="1" t="s">
        <v>1153</v>
      </c>
      <c r="B1913" s="1" t="s">
        <v>2</v>
      </c>
    </row>
    <row r="1914" spans="1:8" x14ac:dyDescent="0.25">
      <c r="A1914" s="2" t="s">
        <v>1464</v>
      </c>
      <c r="B1914" s="2" t="s">
        <v>1465</v>
      </c>
      <c r="C1914" s="3">
        <v>0</v>
      </c>
      <c r="D1914" s="3">
        <v>0</v>
      </c>
      <c r="E1914" s="3">
        <v>0</v>
      </c>
      <c r="F1914" s="3">
        <v>0</v>
      </c>
      <c r="G1914" s="5">
        <v>0</v>
      </c>
    </row>
    <row r="1915" spans="1:8" ht="15" customHeight="1" x14ac:dyDescent="0.25">
      <c r="A1915" s="1" t="s">
        <v>1158</v>
      </c>
      <c r="B1915" s="1" t="s">
        <v>2</v>
      </c>
      <c r="C1915" s="4">
        <v>0</v>
      </c>
      <c r="D1915" s="4">
        <v>0</v>
      </c>
      <c r="E1915" s="4">
        <f>E1914</f>
        <v>0</v>
      </c>
      <c r="F1915" s="6">
        <f>SUM(F1914)</f>
        <v>0</v>
      </c>
      <c r="G1915" s="6">
        <f>SUM(G1914)</f>
        <v>0</v>
      </c>
    </row>
    <row r="1916" spans="1:8" x14ac:dyDescent="0.25">
      <c r="A1916" s="1" t="s">
        <v>2</v>
      </c>
      <c r="B1916" s="1" t="s">
        <v>2</v>
      </c>
      <c r="C1916" s="1" t="s">
        <v>2</v>
      </c>
      <c r="D1916" s="1" t="s">
        <v>2</v>
      </c>
      <c r="E1916" s="1"/>
      <c r="F1916" s="1" t="s">
        <v>2</v>
      </c>
      <c r="G1916" s="1" t="s">
        <v>2</v>
      </c>
    </row>
    <row r="1917" spans="1:8" x14ac:dyDescent="0.25">
      <c r="A1917" s="1" t="s">
        <v>1466</v>
      </c>
      <c r="B1917" s="1" t="s">
        <v>2</v>
      </c>
      <c r="C1917" s="4">
        <v>3489754.88</v>
      </c>
      <c r="D1917" s="4">
        <v>1175525.1200000001</v>
      </c>
      <c r="E1917" s="4">
        <f>E1791+E1818+E1856+E1858+E1884+E1905+E1910+E1915</f>
        <v>2392561.1800000002</v>
      </c>
      <c r="F1917" s="6">
        <f>F1915+F1910+F1905+F1884+F1858+F1856+F1818+F1791</f>
        <v>6129015.2899999991</v>
      </c>
      <c r="G1917" s="6">
        <f>G1915+G1910+G1905+G1884+G1858+G1856+G1818+G1791</f>
        <v>4171754.9046499999</v>
      </c>
    </row>
    <row r="1918" spans="1:8" ht="15" customHeight="1" x14ac:dyDescent="0.25">
      <c r="A1918" s="25" t="s">
        <v>2967</v>
      </c>
      <c r="B1918" s="25"/>
      <c r="C1918" s="33">
        <f>C1678+C1759-C1917</f>
        <v>4441881.0599999996</v>
      </c>
      <c r="D1918" s="33">
        <f>D1678+D1759-D1917</f>
        <v>5433836.4799999995</v>
      </c>
      <c r="E1918" s="33">
        <f>E1678+E1759-E1917</f>
        <v>5920877.4900000002</v>
      </c>
      <c r="F1918" s="33">
        <f>F1678+F1759-F1917</f>
        <v>3375433.7699999996</v>
      </c>
      <c r="G1918" s="33">
        <f>G1678+G1759-G1917</f>
        <v>3658996.8653499996</v>
      </c>
      <c r="H1918" s="25"/>
    </row>
    <row r="1919" spans="1:8" x14ac:dyDescent="0.25">
      <c r="A1919" s="1" t="s">
        <v>2</v>
      </c>
      <c r="B1919" s="1" t="s">
        <v>2</v>
      </c>
      <c r="C1919" s="1" t="s">
        <v>2</v>
      </c>
      <c r="D1919" s="1" t="s">
        <v>2</v>
      </c>
      <c r="E1919" s="1"/>
      <c r="F1919" s="1" t="s">
        <v>2</v>
      </c>
      <c r="G1919" s="1" t="s">
        <v>2</v>
      </c>
    </row>
    <row r="1920" spans="1:8" ht="15" customHeight="1" x14ac:dyDescent="0.25">
      <c r="A1920" s="27" t="s">
        <v>2968</v>
      </c>
      <c r="B1920" s="27"/>
      <c r="C1920" s="28">
        <v>6968582.8200000003</v>
      </c>
      <c r="D1920" s="28">
        <v>9003322.3399999999</v>
      </c>
      <c r="E1920" s="28">
        <v>9003322.3399999999</v>
      </c>
      <c r="F1920" s="28">
        <v>9003322.3399999999</v>
      </c>
      <c r="G1920" s="28">
        <f>F2129</f>
        <v>8013870.0500000007</v>
      </c>
      <c r="H1920" s="27"/>
    </row>
    <row r="1921" spans="1:8" x14ac:dyDescent="0.25">
      <c r="A1921" s="23" t="s">
        <v>1467</v>
      </c>
      <c r="B1921" s="23" t="s">
        <v>2</v>
      </c>
      <c r="C1921" s="29"/>
      <c r="D1921" s="29"/>
      <c r="E1921" s="29"/>
      <c r="F1921" s="29"/>
      <c r="G1921" s="29"/>
      <c r="H1921" s="29"/>
    </row>
    <row r="1922" spans="1:8" x14ac:dyDescent="0.25">
      <c r="A1922" s="23" t="s">
        <v>2026</v>
      </c>
      <c r="B1922" s="23" t="s">
        <v>2</v>
      </c>
      <c r="C1922" s="29"/>
      <c r="D1922" s="29"/>
      <c r="E1922" s="29"/>
      <c r="F1922" s="29"/>
      <c r="G1922" s="29"/>
      <c r="H1922" s="29"/>
    </row>
    <row r="1923" spans="1:8" x14ac:dyDescent="0.25">
      <c r="A1923" s="30" t="s">
        <v>2969</v>
      </c>
      <c r="B1923" s="30" t="s">
        <v>2608</v>
      </c>
      <c r="C1923" s="31">
        <v>0</v>
      </c>
      <c r="D1923" s="31">
        <v>0</v>
      </c>
      <c r="E1923" s="31">
        <v>0</v>
      </c>
      <c r="F1923" s="31">
        <v>0</v>
      </c>
      <c r="G1923" s="31">
        <v>0</v>
      </c>
      <c r="H1923" s="29"/>
    </row>
    <row r="1924" spans="1:8" x14ac:dyDescent="0.25">
      <c r="A1924" s="30" t="s">
        <v>2970</v>
      </c>
      <c r="B1924" s="30" t="s">
        <v>2971</v>
      </c>
      <c r="C1924" s="31">
        <v>0</v>
      </c>
      <c r="D1924" s="31">
        <v>0</v>
      </c>
      <c r="E1924" s="31">
        <v>0</v>
      </c>
      <c r="F1924" s="31">
        <v>0</v>
      </c>
      <c r="G1924" s="31">
        <v>0</v>
      </c>
      <c r="H1924" s="29"/>
    </row>
    <row r="1925" spans="1:8" x14ac:dyDescent="0.25">
      <c r="A1925" s="30" t="s">
        <v>2972</v>
      </c>
      <c r="B1925" s="30" t="s">
        <v>2123</v>
      </c>
      <c r="C1925" s="31">
        <v>1059.31</v>
      </c>
      <c r="D1925" s="31">
        <v>0</v>
      </c>
      <c r="E1925" s="31">
        <v>0</v>
      </c>
      <c r="F1925" s="31">
        <v>0</v>
      </c>
      <c r="G1925" s="31">
        <v>0</v>
      </c>
      <c r="H1925" s="29"/>
    </row>
    <row r="1926" spans="1:8" x14ac:dyDescent="0.25">
      <c r="A1926" s="30" t="s">
        <v>2973</v>
      </c>
      <c r="B1926" s="30" t="s">
        <v>2974</v>
      </c>
      <c r="C1926" s="31">
        <v>0</v>
      </c>
      <c r="D1926" s="31">
        <v>0</v>
      </c>
      <c r="E1926" s="31">
        <v>0</v>
      </c>
      <c r="F1926" s="31">
        <v>0</v>
      </c>
      <c r="G1926" s="31">
        <v>0</v>
      </c>
      <c r="H1926" s="29"/>
    </row>
    <row r="1927" spans="1:8" x14ac:dyDescent="0.25">
      <c r="A1927" s="30"/>
      <c r="B1927" s="30"/>
      <c r="C1927" s="31"/>
      <c r="D1927" s="31"/>
      <c r="E1927" s="31"/>
      <c r="F1927" s="31"/>
      <c r="G1927" s="31"/>
      <c r="H1927" s="29"/>
    </row>
    <row r="1928" spans="1:8" ht="24" x14ac:dyDescent="0.25">
      <c r="A1928" s="23" t="s">
        <v>2706</v>
      </c>
      <c r="B1928" s="23" t="s">
        <v>2</v>
      </c>
      <c r="C1928" s="29"/>
      <c r="D1928" s="29"/>
      <c r="E1928" s="29"/>
      <c r="F1928" s="29"/>
      <c r="G1928" s="29"/>
      <c r="H1928" s="29"/>
    </row>
    <row r="1929" spans="1:8" x14ac:dyDescent="0.25">
      <c r="A1929" s="23" t="s">
        <v>2707</v>
      </c>
      <c r="B1929" s="23" t="s">
        <v>2</v>
      </c>
      <c r="C1929" s="29"/>
      <c r="D1929" s="29"/>
      <c r="E1929" s="29"/>
      <c r="F1929" s="29"/>
      <c r="G1929" s="29"/>
      <c r="H1929" s="29"/>
    </row>
    <row r="1930" spans="1:8" x14ac:dyDescent="0.25">
      <c r="A1930" s="30" t="s">
        <v>2975</v>
      </c>
      <c r="B1930" s="30" t="s">
        <v>2976</v>
      </c>
      <c r="C1930" s="31">
        <v>2252174.08</v>
      </c>
      <c r="D1930" s="31">
        <v>654234.9</v>
      </c>
      <c r="E1930" s="31">
        <v>1136382.96</v>
      </c>
      <c r="F1930" s="31">
        <v>1032687</v>
      </c>
      <c r="G1930" s="67">
        <v>1032687</v>
      </c>
      <c r="H1930" s="29" t="s">
        <v>3442</v>
      </c>
    </row>
    <row r="1931" spans="1:8" x14ac:dyDescent="0.25">
      <c r="A1931" s="30" t="s">
        <v>2977</v>
      </c>
      <c r="B1931" s="30" t="s">
        <v>2894</v>
      </c>
      <c r="C1931" s="31">
        <v>15992.92</v>
      </c>
      <c r="D1931" s="31">
        <v>9784.6</v>
      </c>
      <c r="E1931" s="31">
        <v>16078.76</v>
      </c>
      <c r="F1931" s="31">
        <v>0</v>
      </c>
      <c r="G1931" s="67">
        <v>0</v>
      </c>
      <c r="H1931" s="29"/>
    </row>
    <row r="1932" spans="1:8" x14ac:dyDescent="0.25">
      <c r="A1932" s="30" t="s">
        <v>2978</v>
      </c>
      <c r="B1932" s="30" t="s">
        <v>2896</v>
      </c>
      <c r="C1932" s="31">
        <v>0</v>
      </c>
      <c r="D1932" s="31">
        <v>0</v>
      </c>
      <c r="E1932" s="31">
        <v>0</v>
      </c>
      <c r="F1932" s="31">
        <v>0</v>
      </c>
      <c r="G1932" s="67">
        <v>0</v>
      </c>
      <c r="H1932" s="29"/>
    </row>
    <row r="1933" spans="1:8" x14ac:dyDescent="0.25">
      <c r="A1933" s="30" t="s">
        <v>2979</v>
      </c>
      <c r="B1933" s="30" t="s">
        <v>2898</v>
      </c>
      <c r="C1933" s="31">
        <v>4731599.3899999997</v>
      </c>
      <c r="D1933" s="31">
        <v>2622681.3199999998</v>
      </c>
      <c r="E1933" s="31">
        <v>4488645.4800000004</v>
      </c>
      <c r="F1933" s="31">
        <v>4901565</v>
      </c>
      <c r="G1933" s="67">
        <v>4901565</v>
      </c>
      <c r="H1933" s="29"/>
    </row>
    <row r="1934" spans="1:8" x14ac:dyDescent="0.25">
      <c r="A1934" s="30" t="s">
        <v>2980</v>
      </c>
      <c r="B1934" s="30" t="s">
        <v>2981</v>
      </c>
      <c r="C1934" s="31">
        <v>183.53</v>
      </c>
      <c r="D1934" s="31">
        <v>0</v>
      </c>
      <c r="E1934" s="31">
        <v>0</v>
      </c>
      <c r="F1934" s="31">
        <v>0</v>
      </c>
      <c r="G1934" s="67">
        <v>0</v>
      </c>
      <c r="H1934" s="29"/>
    </row>
    <row r="1935" spans="1:8" x14ac:dyDescent="0.25">
      <c r="A1935" s="30" t="s">
        <v>2982</v>
      </c>
      <c r="B1935" s="30" t="s">
        <v>2983</v>
      </c>
      <c r="C1935" s="31">
        <v>132773.88</v>
      </c>
      <c r="D1935" s="31">
        <v>63684.68</v>
      </c>
      <c r="E1935" s="31">
        <v>109999.61</v>
      </c>
      <c r="F1935" s="31">
        <v>120000</v>
      </c>
      <c r="G1935" s="67">
        <v>120000</v>
      </c>
      <c r="H1935" s="29"/>
    </row>
    <row r="1936" spans="1:8" x14ac:dyDescent="0.25">
      <c r="A1936" s="30" t="s">
        <v>2984</v>
      </c>
      <c r="B1936" s="30" t="s">
        <v>2985</v>
      </c>
      <c r="C1936" s="31">
        <v>236.68</v>
      </c>
      <c r="D1936" s="31">
        <v>0</v>
      </c>
      <c r="E1936" s="31">
        <v>0</v>
      </c>
      <c r="F1936" s="31">
        <v>0</v>
      </c>
      <c r="G1936" s="67">
        <v>0</v>
      </c>
      <c r="H1936" s="29"/>
    </row>
    <row r="1937" spans="1:8" x14ac:dyDescent="0.25">
      <c r="A1937" s="30" t="s">
        <v>2986</v>
      </c>
      <c r="B1937" s="30" t="s">
        <v>2987</v>
      </c>
      <c r="C1937" s="31">
        <v>18300</v>
      </c>
      <c r="D1937" s="31">
        <v>4740</v>
      </c>
      <c r="E1937" s="31">
        <v>7340</v>
      </c>
      <c r="F1937" s="31">
        <v>8500</v>
      </c>
      <c r="G1937" s="67">
        <v>8500</v>
      </c>
      <c r="H1937" s="29"/>
    </row>
    <row r="1938" spans="1:8" x14ac:dyDescent="0.25">
      <c r="A1938" s="30" t="s">
        <v>2988</v>
      </c>
      <c r="B1938" s="30" t="s">
        <v>2989</v>
      </c>
      <c r="C1938" s="31">
        <v>8885.25</v>
      </c>
      <c r="D1938" s="31">
        <v>3102.75</v>
      </c>
      <c r="E1938" s="31">
        <v>5352.82</v>
      </c>
      <c r="F1938" s="31">
        <v>4500</v>
      </c>
      <c r="G1938" s="67">
        <v>4500</v>
      </c>
      <c r="H1938" s="29"/>
    </row>
    <row r="1939" spans="1:8" x14ac:dyDescent="0.25">
      <c r="A1939" s="30" t="s">
        <v>2990</v>
      </c>
      <c r="B1939" s="30" t="s">
        <v>2991</v>
      </c>
      <c r="C1939" s="31">
        <v>300</v>
      </c>
      <c r="D1939" s="31">
        <v>250.62</v>
      </c>
      <c r="E1939" s="31">
        <v>1884.76</v>
      </c>
      <c r="F1939" s="31">
        <v>0</v>
      </c>
      <c r="G1939" s="67">
        <v>0</v>
      </c>
      <c r="H1939" s="29"/>
    </row>
    <row r="1940" spans="1:8" x14ac:dyDescent="0.25">
      <c r="A1940" s="23" t="s">
        <v>2710</v>
      </c>
      <c r="B1940" s="23" t="s">
        <v>2</v>
      </c>
      <c r="C1940" s="32">
        <v>7160445.7300000004</v>
      </c>
      <c r="D1940" s="32">
        <v>3358478.87</v>
      </c>
      <c r="E1940" s="32">
        <f>SUM(E1930:E1939)</f>
        <v>5765684.3900000006</v>
      </c>
      <c r="F1940" s="32">
        <f>SUM(F1930:F1939)</f>
        <v>6067252</v>
      </c>
      <c r="G1940" s="32">
        <f>SUM(G1930:G1939)</f>
        <v>6067252</v>
      </c>
      <c r="H1940" s="29"/>
    </row>
    <row r="1941" spans="1:8" x14ac:dyDescent="0.25">
      <c r="A1941" s="23" t="s">
        <v>2</v>
      </c>
      <c r="B1941" s="23" t="s">
        <v>2</v>
      </c>
      <c r="C1941" s="23" t="s">
        <v>2</v>
      </c>
      <c r="D1941" s="23" t="s">
        <v>2</v>
      </c>
      <c r="E1941" s="23"/>
      <c r="F1941" s="23" t="s">
        <v>2</v>
      </c>
      <c r="G1941" s="23" t="s">
        <v>2</v>
      </c>
      <c r="H1941" s="29"/>
    </row>
    <row r="1942" spans="1:8" ht="24" x14ac:dyDescent="0.25">
      <c r="A1942" s="23" t="s">
        <v>2721</v>
      </c>
      <c r="B1942" s="23" t="s">
        <v>2</v>
      </c>
      <c r="C1942" s="32">
        <v>7160445.7300000004</v>
      </c>
      <c r="D1942" s="32">
        <v>3358478.87</v>
      </c>
      <c r="E1942" s="32">
        <f>E1940</f>
        <v>5765684.3900000006</v>
      </c>
      <c r="F1942" s="32">
        <f>F1940</f>
        <v>6067252</v>
      </c>
      <c r="G1942" s="32">
        <f>G1940</f>
        <v>6067252</v>
      </c>
      <c r="H1942" s="29"/>
    </row>
    <row r="1943" spans="1:8" x14ac:dyDescent="0.25">
      <c r="A1943" s="23" t="s">
        <v>2</v>
      </c>
      <c r="B1943" s="23" t="s">
        <v>2</v>
      </c>
      <c r="C1943" s="23" t="s">
        <v>2</v>
      </c>
      <c r="D1943" s="23" t="s">
        <v>2</v>
      </c>
      <c r="E1943" s="23"/>
      <c r="F1943" s="23" t="s">
        <v>2</v>
      </c>
      <c r="G1943" s="23" t="s">
        <v>2</v>
      </c>
      <c r="H1943" s="29"/>
    </row>
    <row r="1944" spans="1:8" x14ac:dyDescent="0.25">
      <c r="A1944" s="30" t="s">
        <v>2992</v>
      </c>
      <c r="B1944" s="30" t="s">
        <v>2993</v>
      </c>
      <c r="C1944" s="31">
        <v>0</v>
      </c>
      <c r="D1944" s="31">
        <v>0</v>
      </c>
      <c r="E1944" s="31">
        <v>0</v>
      </c>
      <c r="F1944" s="31">
        <v>0</v>
      </c>
      <c r="G1944" s="31">
        <v>0</v>
      </c>
      <c r="H1944" s="29"/>
    </row>
    <row r="1945" spans="1:8" x14ac:dyDescent="0.25">
      <c r="A1945" s="30" t="s">
        <v>2994</v>
      </c>
      <c r="B1945" s="30" t="s">
        <v>2584</v>
      </c>
      <c r="C1945" s="31">
        <v>3559.94</v>
      </c>
      <c r="D1945" s="31">
        <v>11825.49</v>
      </c>
      <c r="E1945" s="31">
        <v>16033.73</v>
      </c>
      <c r="F1945" s="31">
        <v>0</v>
      </c>
      <c r="G1945" s="31">
        <v>0</v>
      </c>
      <c r="H1945" s="29"/>
    </row>
    <row r="1946" spans="1:8" x14ac:dyDescent="0.25">
      <c r="A1946" s="30" t="s">
        <v>2995</v>
      </c>
      <c r="B1946" s="30" t="s">
        <v>2930</v>
      </c>
      <c r="C1946" s="31">
        <v>594</v>
      </c>
      <c r="D1946" s="31">
        <v>486</v>
      </c>
      <c r="E1946" s="31">
        <v>801.09</v>
      </c>
      <c r="F1946" s="31">
        <v>0</v>
      </c>
      <c r="G1946" s="31">
        <v>0</v>
      </c>
      <c r="H1946" s="29"/>
    </row>
    <row r="1947" spans="1:8" x14ac:dyDescent="0.25">
      <c r="A1947" s="30" t="s">
        <v>2996</v>
      </c>
      <c r="B1947" s="30" t="s">
        <v>2932</v>
      </c>
      <c r="C1947" s="31">
        <v>0</v>
      </c>
      <c r="D1947" s="31">
        <v>0</v>
      </c>
      <c r="E1947" s="31">
        <v>0</v>
      </c>
      <c r="F1947" s="31">
        <v>0</v>
      </c>
      <c r="G1947" s="31">
        <v>0</v>
      </c>
      <c r="H1947" s="29"/>
    </row>
    <row r="1948" spans="1:8" x14ac:dyDescent="0.25">
      <c r="A1948" s="30" t="s">
        <v>2997</v>
      </c>
      <c r="B1948" s="30" t="s">
        <v>2934</v>
      </c>
      <c r="C1948" s="31">
        <v>0</v>
      </c>
      <c r="D1948" s="31">
        <v>1413.58</v>
      </c>
      <c r="E1948" s="31">
        <v>10530.93</v>
      </c>
      <c r="F1948" s="31">
        <v>0</v>
      </c>
      <c r="G1948" s="31">
        <v>0</v>
      </c>
      <c r="H1948" s="29"/>
    </row>
    <row r="1949" spans="1:8" x14ac:dyDescent="0.25">
      <c r="A1949" s="30"/>
      <c r="B1949" s="30"/>
      <c r="C1949" s="31"/>
      <c r="D1949" s="31"/>
      <c r="E1949" s="31"/>
      <c r="F1949" s="31"/>
      <c r="G1949" s="31"/>
      <c r="H1949" s="29"/>
    </row>
    <row r="1950" spans="1:8" x14ac:dyDescent="0.25">
      <c r="A1950" s="23" t="s">
        <v>2175</v>
      </c>
      <c r="B1950" s="23" t="s">
        <v>2</v>
      </c>
      <c r="C1950" s="29"/>
      <c r="D1950" s="29"/>
      <c r="E1950" s="29"/>
      <c r="F1950" s="29"/>
      <c r="G1950" s="29"/>
      <c r="H1950" s="29"/>
    </row>
    <row r="1951" spans="1:8" x14ac:dyDescent="0.25">
      <c r="A1951" s="23" t="s">
        <v>2176</v>
      </c>
      <c r="B1951" s="23" t="s">
        <v>2</v>
      </c>
      <c r="C1951" s="29"/>
      <c r="D1951" s="29"/>
      <c r="E1951" s="29"/>
      <c r="F1951" s="29"/>
      <c r="G1951" s="29"/>
      <c r="H1951" s="29"/>
    </row>
    <row r="1952" spans="1:8" x14ac:dyDescent="0.25">
      <c r="A1952" s="30" t="s">
        <v>2998</v>
      </c>
      <c r="B1952" s="30" t="s">
        <v>2409</v>
      </c>
      <c r="C1952" s="31">
        <v>4045.69</v>
      </c>
      <c r="D1952" s="31">
        <v>4052.2</v>
      </c>
      <c r="E1952" s="31">
        <v>16163.12</v>
      </c>
      <c r="F1952" s="31">
        <v>0</v>
      </c>
      <c r="G1952" s="31">
        <v>0</v>
      </c>
      <c r="H1952" s="29"/>
    </row>
    <row r="1953" spans="1:8" x14ac:dyDescent="0.25">
      <c r="A1953" s="30" t="s">
        <v>2999</v>
      </c>
      <c r="B1953" s="30" t="s">
        <v>2703</v>
      </c>
      <c r="C1953" s="31">
        <v>0</v>
      </c>
      <c r="D1953" s="31">
        <v>0</v>
      </c>
      <c r="E1953" s="31">
        <v>0</v>
      </c>
      <c r="F1953" s="31">
        <v>0</v>
      </c>
      <c r="G1953" s="31">
        <v>0</v>
      </c>
      <c r="H1953" s="29"/>
    </row>
    <row r="1954" spans="1:8" x14ac:dyDescent="0.25">
      <c r="A1954" s="30" t="s">
        <v>3000</v>
      </c>
      <c r="B1954" s="30" t="s">
        <v>2938</v>
      </c>
      <c r="C1954" s="31">
        <v>14.65</v>
      </c>
      <c r="D1954" s="31">
        <v>4.6100000000000003</v>
      </c>
      <c r="E1954" s="31">
        <v>9.3000000000000007</v>
      </c>
      <c r="F1954" s="31">
        <v>0</v>
      </c>
      <c r="G1954" s="31">
        <v>0</v>
      </c>
      <c r="H1954" s="29"/>
    </row>
    <row r="1955" spans="1:8" ht="24" x14ac:dyDescent="0.25">
      <c r="A1955" s="23" t="s">
        <v>2179</v>
      </c>
      <c r="B1955" s="23" t="s">
        <v>2</v>
      </c>
      <c r="C1955" s="32">
        <v>4060.34</v>
      </c>
      <c r="D1955" s="32">
        <v>4056.81</v>
      </c>
      <c r="E1955" s="32">
        <f>SUM(E1952:E1954)</f>
        <v>16172.42</v>
      </c>
      <c r="F1955" s="32">
        <f>SUM(F1952:F1954)</f>
        <v>0</v>
      </c>
      <c r="G1955" s="32">
        <f>SUM(G1952:G1954)</f>
        <v>0</v>
      </c>
      <c r="H1955" s="29"/>
    </row>
    <row r="1956" spans="1:8" x14ac:dyDescent="0.25">
      <c r="A1956" s="23" t="s">
        <v>2</v>
      </c>
      <c r="B1956" s="23" t="s">
        <v>2</v>
      </c>
      <c r="C1956" s="23" t="s">
        <v>2</v>
      </c>
      <c r="D1956" s="23" t="s">
        <v>2</v>
      </c>
      <c r="E1956" s="23"/>
      <c r="F1956" s="23" t="s">
        <v>2</v>
      </c>
      <c r="G1956" s="23" t="s">
        <v>2</v>
      </c>
      <c r="H1956" s="29"/>
    </row>
    <row r="1957" spans="1:8" ht="24" x14ac:dyDescent="0.25">
      <c r="A1957" s="23" t="s">
        <v>2581</v>
      </c>
      <c r="B1957" s="23" t="s">
        <v>2</v>
      </c>
      <c r="C1957" s="29"/>
      <c r="D1957" s="29"/>
      <c r="E1957" s="29"/>
      <c r="F1957" s="29"/>
      <c r="G1957" s="29"/>
      <c r="H1957" s="29"/>
    </row>
    <row r="1958" spans="1:8" x14ac:dyDescent="0.25">
      <c r="A1958" s="30" t="s">
        <v>3001</v>
      </c>
      <c r="B1958" s="30" t="s">
        <v>3002</v>
      </c>
      <c r="C1958" s="31">
        <v>955.95</v>
      </c>
      <c r="D1958" s="31">
        <v>0</v>
      </c>
      <c r="E1958" s="31">
        <v>1623.5</v>
      </c>
      <c r="F1958" s="31">
        <v>0</v>
      </c>
      <c r="G1958" s="31">
        <v>0</v>
      </c>
      <c r="H1958" s="29"/>
    </row>
    <row r="1959" spans="1:8" x14ac:dyDescent="0.25">
      <c r="A1959" s="30" t="s">
        <v>3003</v>
      </c>
      <c r="B1959" s="30" t="s">
        <v>2942</v>
      </c>
      <c r="C1959" s="31">
        <v>0</v>
      </c>
      <c r="D1959" s="31">
        <v>0</v>
      </c>
      <c r="E1959" s="31">
        <v>0</v>
      </c>
      <c r="F1959" s="31">
        <v>0</v>
      </c>
      <c r="G1959" s="31">
        <v>0</v>
      </c>
      <c r="H1959" s="29"/>
    </row>
    <row r="1960" spans="1:8" ht="24" x14ac:dyDescent="0.25">
      <c r="A1960" s="23" t="s">
        <v>2585</v>
      </c>
      <c r="B1960" s="23" t="s">
        <v>2</v>
      </c>
      <c r="C1960" s="32">
        <v>955.95</v>
      </c>
      <c r="D1960" s="32">
        <v>0</v>
      </c>
      <c r="E1960" s="32">
        <f>E1958+E1959</f>
        <v>1623.5</v>
      </c>
      <c r="F1960" s="32">
        <f>SUM(F1958:F1959)</f>
        <v>0</v>
      </c>
      <c r="G1960" s="32">
        <f>SUM(G1958:G1959)</f>
        <v>0</v>
      </c>
      <c r="H1960" s="29"/>
    </row>
    <row r="1961" spans="1:8" x14ac:dyDescent="0.25">
      <c r="A1961" s="30"/>
      <c r="B1961" s="30"/>
      <c r="C1961" s="31"/>
      <c r="D1961" s="31"/>
      <c r="E1961" s="31"/>
      <c r="F1961" s="31"/>
      <c r="G1961" s="31"/>
      <c r="H1961" s="29"/>
    </row>
    <row r="1962" spans="1:8" ht="24" x14ac:dyDescent="0.25">
      <c r="A1962" s="23" t="s">
        <v>2180</v>
      </c>
      <c r="B1962" s="23" t="s">
        <v>2</v>
      </c>
      <c r="C1962" s="32">
        <v>5016.29</v>
      </c>
      <c r="D1962" s="32">
        <v>4056.81</v>
      </c>
      <c r="E1962" s="32">
        <f>E1955+E1960</f>
        <v>17795.919999999998</v>
      </c>
      <c r="F1962" s="32">
        <f>F1955+F1960</f>
        <v>0</v>
      </c>
      <c r="G1962" s="32">
        <f>G1955+G1960</f>
        <v>0</v>
      </c>
      <c r="H1962" s="29"/>
    </row>
    <row r="1963" spans="1:8" x14ac:dyDescent="0.25">
      <c r="A1963" s="23" t="s">
        <v>2</v>
      </c>
      <c r="B1963" s="23" t="s">
        <v>2</v>
      </c>
      <c r="C1963" s="23" t="s">
        <v>2</v>
      </c>
      <c r="D1963" s="23" t="s">
        <v>2</v>
      </c>
      <c r="E1963" s="23"/>
      <c r="F1963" s="23" t="s">
        <v>2</v>
      </c>
      <c r="G1963" s="23" t="s">
        <v>2</v>
      </c>
      <c r="H1963" s="29"/>
    </row>
    <row r="1964" spans="1:8" ht="24" x14ac:dyDescent="0.25">
      <c r="A1964" s="23" t="s">
        <v>2948</v>
      </c>
      <c r="B1964" s="23" t="s">
        <v>2</v>
      </c>
      <c r="C1964" s="29"/>
      <c r="D1964" s="29"/>
      <c r="E1964" s="29"/>
      <c r="F1964" s="29"/>
      <c r="G1964" s="29"/>
      <c r="H1964" s="29"/>
    </row>
    <row r="1965" spans="1:8" x14ac:dyDescent="0.25">
      <c r="A1965" s="30" t="s">
        <v>3004</v>
      </c>
      <c r="B1965" s="30" t="s">
        <v>3005</v>
      </c>
      <c r="C1965" s="31">
        <v>0</v>
      </c>
      <c r="D1965" s="31">
        <v>0</v>
      </c>
      <c r="E1965" s="31">
        <v>0</v>
      </c>
      <c r="F1965" s="31">
        <v>0</v>
      </c>
      <c r="G1965" s="31">
        <v>0</v>
      </c>
      <c r="H1965" s="29"/>
    </row>
    <row r="1966" spans="1:8" ht="24" x14ac:dyDescent="0.25">
      <c r="A1966" s="23" t="s">
        <v>2950</v>
      </c>
      <c r="B1966" s="23" t="s">
        <v>2</v>
      </c>
      <c r="C1966" s="32">
        <v>0</v>
      </c>
      <c r="D1966" s="32">
        <v>0</v>
      </c>
      <c r="E1966" s="32">
        <f>E1965</f>
        <v>0</v>
      </c>
      <c r="F1966" s="32">
        <f>SUM(F1965)</f>
        <v>0</v>
      </c>
      <c r="G1966" s="32">
        <f>SUM(G1965)</f>
        <v>0</v>
      </c>
      <c r="H1966" s="29"/>
    </row>
    <row r="1967" spans="1:8" x14ac:dyDescent="0.25">
      <c r="A1967" s="23" t="s">
        <v>2</v>
      </c>
      <c r="B1967" s="23" t="s">
        <v>2</v>
      </c>
      <c r="C1967" s="23" t="s">
        <v>2</v>
      </c>
      <c r="D1967" s="23" t="s">
        <v>2</v>
      </c>
      <c r="E1967" s="23"/>
      <c r="F1967" s="23" t="s">
        <v>2</v>
      </c>
      <c r="G1967" s="23" t="s">
        <v>2</v>
      </c>
      <c r="H1967" s="29"/>
    </row>
    <row r="1968" spans="1:8" x14ac:dyDescent="0.25">
      <c r="A1968" s="23" t="s">
        <v>2553</v>
      </c>
      <c r="B1968" s="23" t="s">
        <v>2</v>
      </c>
      <c r="C1968" s="29"/>
      <c r="D1968" s="29"/>
      <c r="E1968" s="29"/>
      <c r="F1968" s="29"/>
      <c r="G1968" s="29"/>
      <c r="H1968" s="29"/>
    </row>
    <row r="1969" spans="1:8" ht="24" x14ac:dyDescent="0.25">
      <c r="A1969" s="23" t="s">
        <v>3006</v>
      </c>
      <c r="B1969" s="23" t="s">
        <v>2</v>
      </c>
      <c r="C1969" s="29"/>
      <c r="D1969" s="29"/>
      <c r="E1969" s="29"/>
      <c r="F1969" s="29"/>
      <c r="G1969" s="29"/>
      <c r="H1969" s="29"/>
    </row>
    <row r="1970" spans="1:8" x14ac:dyDescent="0.25">
      <c r="A1970" s="30" t="s">
        <v>3007</v>
      </c>
      <c r="B1970" s="30" t="s">
        <v>3008</v>
      </c>
      <c r="C1970" s="31">
        <v>0</v>
      </c>
      <c r="D1970" s="31">
        <v>0</v>
      </c>
      <c r="E1970" s="31">
        <v>0</v>
      </c>
      <c r="F1970" s="31">
        <v>0</v>
      </c>
      <c r="G1970" s="31">
        <v>0</v>
      </c>
      <c r="H1970" s="29"/>
    </row>
    <row r="1971" spans="1:8" x14ac:dyDescent="0.25">
      <c r="A1971" s="30" t="s">
        <v>3009</v>
      </c>
      <c r="B1971" s="30" t="s">
        <v>3010</v>
      </c>
      <c r="C1971" s="31">
        <v>0</v>
      </c>
      <c r="D1971" s="31">
        <v>0</v>
      </c>
      <c r="E1971" s="31">
        <v>0</v>
      </c>
      <c r="F1971" s="31">
        <v>0</v>
      </c>
      <c r="G1971" s="31">
        <v>0</v>
      </c>
      <c r="H1971" s="29"/>
    </row>
    <row r="1972" spans="1:8" ht="36" x14ac:dyDescent="0.25">
      <c r="A1972" s="23" t="s">
        <v>3011</v>
      </c>
      <c r="B1972" s="23" t="s">
        <v>2</v>
      </c>
      <c r="C1972" s="32">
        <v>0</v>
      </c>
      <c r="D1972" s="32">
        <v>0</v>
      </c>
      <c r="E1972" s="32">
        <f>E1970+E1971</f>
        <v>0</v>
      </c>
      <c r="F1972" s="32">
        <f>SUM(F1970:F1971)</f>
        <v>0</v>
      </c>
      <c r="G1972" s="32">
        <f>SUM(G1970:G1971)</f>
        <v>0</v>
      </c>
      <c r="H1972" s="29"/>
    </row>
    <row r="1973" spans="1:8" x14ac:dyDescent="0.25">
      <c r="A1973" s="23" t="s">
        <v>2</v>
      </c>
      <c r="B1973" s="23" t="s">
        <v>2</v>
      </c>
      <c r="C1973" s="23" t="s">
        <v>2</v>
      </c>
      <c r="D1973" s="23" t="s">
        <v>2</v>
      </c>
      <c r="E1973" s="23"/>
      <c r="F1973" s="23" t="s">
        <v>2</v>
      </c>
      <c r="G1973" s="23" t="s">
        <v>2</v>
      </c>
      <c r="H1973" s="29"/>
    </row>
    <row r="1974" spans="1:8" x14ac:dyDescent="0.25">
      <c r="A1974" s="30" t="s">
        <v>3012</v>
      </c>
      <c r="B1974" s="30" t="s">
        <v>3013</v>
      </c>
      <c r="C1974" s="31">
        <v>0</v>
      </c>
      <c r="D1974" s="31">
        <v>0</v>
      </c>
      <c r="E1974" s="31">
        <v>0</v>
      </c>
      <c r="F1974" s="31">
        <v>0</v>
      </c>
      <c r="G1974" s="31">
        <v>0</v>
      </c>
      <c r="H1974" s="29"/>
    </row>
    <row r="1975" spans="1:8" x14ac:dyDescent="0.25">
      <c r="A1975" s="30" t="s">
        <v>3014</v>
      </c>
      <c r="B1975" s="30" t="s">
        <v>2965</v>
      </c>
      <c r="C1975" s="31">
        <v>0</v>
      </c>
      <c r="D1975" s="31">
        <v>0</v>
      </c>
      <c r="E1975" s="31">
        <v>0</v>
      </c>
      <c r="F1975" s="31">
        <v>0</v>
      </c>
      <c r="G1975" s="31">
        <v>0</v>
      </c>
      <c r="H1975" s="29"/>
    </row>
    <row r="1976" spans="1:8" x14ac:dyDescent="0.25">
      <c r="A1976" s="23" t="s">
        <v>2</v>
      </c>
      <c r="B1976" s="23" t="s">
        <v>2</v>
      </c>
      <c r="C1976" s="23" t="s">
        <v>2</v>
      </c>
      <c r="D1976" s="23" t="s">
        <v>2</v>
      </c>
      <c r="E1976" s="23"/>
      <c r="F1976" s="23" t="s">
        <v>2</v>
      </c>
      <c r="G1976" s="23" t="s">
        <v>2</v>
      </c>
      <c r="H1976" s="29"/>
    </row>
    <row r="1977" spans="1:8" ht="24" x14ac:dyDescent="0.25">
      <c r="A1977" s="23" t="s">
        <v>2556</v>
      </c>
      <c r="B1977" s="23" t="s">
        <v>2</v>
      </c>
      <c r="C1977" s="32">
        <v>0</v>
      </c>
      <c r="D1977" s="32">
        <v>0</v>
      </c>
      <c r="E1977" s="32">
        <f>E1974+E1975+E1972</f>
        <v>0</v>
      </c>
      <c r="F1977" s="32">
        <f>SUM(F1974:F1975)+F1972</f>
        <v>0</v>
      </c>
      <c r="G1977" s="32">
        <f>SUM(G1974:G1975)+G1972</f>
        <v>0</v>
      </c>
      <c r="H1977" s="29"/>
    </row>
    <row r="1978" spans="1:8" x14ac:dyDescent="0.25">
      <c r="A1978" s="23" t="s">
        <v>2</v>
      </c>
      <c r="B1978" s="23" t="s">
        <v>2</v>
      </c>
      <c r="C1978" s="23" t="s">
        <v>2</v>
      </c>
      <c r="D1978" s="23" t="s">
        <v>2</v>
      </c>
      <c r="E1978" s="23"/>
      <c r="F1978" s="23" t="s">
        <v>2</v>
      </c>
      <c r="G1978" s="23" t="s">
        <v>2</v>
      </c>
      <c r="H1978" s="29"/>
    </row>
    <row r="1979" spans="1:8" x14ac:dyDescent="0.25">
      <c r="A1979" s="23" t="s">
        <v>1643</v>
      </c>
      <c r="B1979" s="23" t="s">
        <v>2</v>
      </c>
      <c r="C1979" s="32">
        <v>7170675.2699999996</v>
      </c>
      <c r="D1979" s="32">
        <v>3376260.75</v>
      </c>
      <c r="E1979" s="32">
        <f>SUM(E1923:E1926)+E1942+E1944+E1945+E1946+E1947+E1948+E1955+E1960+E1966+E1972+E1977</f>
        <v>5810846.0600000005</v>
      </c>
      <c r="F1979" s="32">
        <f>F1977+F1966+F1962+SUM(F1944:F1948)+F1942+SUM(F1923:F1926)</f>
        <v>6067252</v>
      </c>
      <c r="G1979" s="32">
        <f>G1977+G1966+G1962+SUM(G1944:G1948)+G1942+SUM(G1923:G1926)</f>
        <v>6067252</v>
      </c>
      <c r="H1979" s="29"/>
    </row>
    <row r="1980" spans="1:8" x14ac:dyDescent="0.25">
      <c r="A1980" s="1" t="s">
        <v>740</v>
      </c>
      <c r="B1980" s="1"/>
      <c r="C1980" s="4"/>
      <c r="D1980" s="4"/>
      <c r="E1980" s="4"/>
      <c r="F1980" s="4"/>
      <c r="G1980" s="4"/>
    </row>
    <row r="1981" spans="1:8" x14ac:dyDescent="0.25">
      <c r="A1981" s="1" t="s">
        <v>1467</v>
      </c>
      <c r="B1981" s="1" t="s">
        <v>2</v>
      </c>
      <c r="C1981" s="40"/>
      <c r="D1981" s="40"/>
      <c r="E1981" s="40"/>
    </row>
    <row r="1982" spans="1:8" ht="15" customHeight="1" x14ac:dyDescent="0.25">
      <c r="A1982" s="1" t="s">
        <v>1268</v>
      </c>
      <c r="B1982" s="1" t="s">
        <v>2</v>
      </c>
    </row>
    <row r="1983" spans="1:8" ht="15" customHeight="1" x14ac:dyDescent="0.25">
      <c r="A1983" s="2" t="s">
        <v>1468</v>
      </c>
      <c r="B1983" s="2" t="s">
        <v>108</v>
      </c>
      <c r="C1983" s="3">
        <v>44167.61</v>
      </c>
      <c r="D1983" s="3">
        <v>20158</v>
      </c>
      <c r="E1983" s="3">
        <v>35030.21</v>
      </c>
      <c r="F1983" s="3">
        <v>62096.98</v>
      </c>
      <c r="G1983" s="5">
        <f t="shared" ref="G1983:G1988" si="53">F1983*1.055</f>
        <v>65512.313900000001</v>
      </c>
    </row>
    <row r="1984" spans="1:8" ht="15" customHeight="1" x14ac:dyDescent="0.25">
      <c r="A1984" s="2" t="s">
        <v>1469</v>
      </c>
      <c r="B1984" s="2" t="s">
        <v>652</v>
      </c>
      <c r="C1984" s="3">
        <v>83482.17</v>
      </c>
      <c r="D1984" s="3">
        <v>38102.04</v>
      </c>
      <c r="E1984" s="3">
        <v>68353.929999999993</v>
      </c>
      <c r="F1984" s="3">
        <v>106454.51</v>
      </c>
      <c r="G1984" s="5">
        <f t="shared" si="53"/>
        <v>112309.50804999999</v>
      </c>
    </row>
    <row r="1985" spans="1:8" ht="15" customHeight="1" x14ac:dyDescent="0.25">
      <c r="A1985" s="2" t="s">
        <v>1470</v>
      </c>
      <c r="B1985" s="2" t="s">
        <v>29</v>
      </c>
      <c r="C1985" s="3">
        <v>34496.300000000003</v>
      </c>
      <c r="D1985" s="3">
        <v>17244.150000000001</v>
      </c>
      <c r="E1985" s="3">
        <v>29851.65</v>
      </c>
      <c r="F1985" s="3">
        <v>48418.2</v>
      </c>
      <c r="G1985" s="5">
        <f t="shared" si="53"/>
        <v>51081.200999999994</v>
      </c>
    </row>
    <row r="1986" spans="1:8" ht="15" customHeight="1" x14ac:dyDescent="0.25">
      <c r="A1986" s="2" t="s">
        <v>1471</v>
      </c>
      <c r="B1986" s="2" t="s">
        <v>128</v>
      </c>
      <c r="C1986" s="3">
        <v>1137.44</v>
      </c>
      <c r="D1986" s="3">
        <v>425.72</v>
      </c>
      <c r="E1986" s="3">
        <v>746.9</v>
      </c>
      <c r="F1986" s="3">
        <v>1509.97</v>
      </c>
      <c r="G1986" s="5">
        <f t="shared" si="53"/>
        <v>1593.0183499999998</v>
      </c>
    </row>
    <row r="1987" spans="1:8" ht="15" customHeight="1" x14ac:dyDescent="0.25">
      <c r="A1987" s="2" t="s">
        <v>1472</v>
      </c>
      <c r="B1987" s="2" t="s">
        <v>33</v>
      </c>
      <c r="C1987" s="3">
        <v>17162.46</v>
      </c>
      <c r="D1987" s="3">
        <v>6984.52</v>
      </c>
      <c r="E1987" s="3">
        <v>12379.75</v>
      </c>
      <c r="F1987" s="3">
        <v>20220.11</v>
      </c>
      <c r="G1987" s="5">
        <f t="shared" si="53"/>
        <v>21332.216049999999</v>
      </c>
    </row>
    <row r="1988" spans="1:8" ht="15" customHeight="1" x14ac:dyDescent="0.25">
      <c r="A1988" s="2" t="s">
        <v>1473</v>
      </c>
      <c r="B1988" s="2" t="s">
        <v>11</v>
      </c>
      <c r="C1988" s="3">
        <v>9621.1299999999992</v>
      </c>
      <c r="D1988" s="3">
        <v>4390.6499999999996</v>
      </c>
      <c r="E1988" s="3">
        <v>7790.96</v>
      </c>
      <c r="F1988" s="3">
        <v>12894.19</v>
      </c>
      <c r="G1988" s="5">
        <f t="shared" si="53"/>
        <v>13603.37045</v>
      </c>
    </row>
    <row r="1989" spans="1:8" ht="15" customHeight="1" x14ac:dyDescent="0.25">
      <c r="A1989" s="2" t="s">
        <v>1474</v>
      </c>
      <c r="B1989" s="2" t="s">
        <v>13</v>
      </c>
      <c r="C1989" s="3">
        <v>187.17</v>
      </c>
      <c r="D1989" s="3">
        <v>123.7</v>
      </c>
      <c r="E1989" s="3">
        <v>219.78</v>
      </c>
      <c r="F1989" s="3">
        <v>247.77</v>
      </c>
      <c r="G1989" s="5">
        <f>F1989*1.055</f>
        <v>261.39735000000002</v>
      </c>
    </row>
    <row r="1990" spans="1:8" ht="15" customHeight="1" x14ac:dyDescent="0.25">
      <c r="A1990" s="2" t="s">
        <v>1475</v>
      </c>
      <c r="B1990" s="2" t="s">
        <v>286</v>
      </c>
      <c r="C1990" s="3">
        <v>84.5</v>
      </c>
      <c r="D1990" s="3">
        <v>0</v>
      </c>
      <c r="E1990" s="3">
        <v>0</v>
      </c>
      <c r="F1990" s="3">
        <v>143</v>
      </c>
      <c r="G1990" s="5">
        <v>150</v>
      </c>
    </row>
    <row r="1991" spans="1:8" ht="15" customHeight="1" x14ac:dyDescent="0.25">
      <c r="A1991" s="2" t="s">
        <v>1476</v>
      </c>
      <c r="B1991" s="2" t="s">
        <v>37</v>
      </c>
      <c r="C1991" s="3">
        <v>429</v>
      </c>
      <c r="D1991" s="3">
        <v>178.79</v>
      </c>
      <c r="E1991" s="3">
        <v>648.76</v>
      </c>
      <c r="F1991" s="3">
        <v>1000</v>
      </c>
      <c r="G1991" s="5">
        <v>1000</v>
      </c>
    </row>
    <row r="1992" spans="1:8" ht="15" customHeight="1" x14ac:dyDescent="0.25">
      <c r="A1992" s="2" t="s">
        <v>1477</v>
      </c>
      <c r="B1992" s="2" t="s">
        <v>39</v>
      </c>
      <c r="C1992" s="3">
        <v>0</v>
      </c>
      <c r="D1992" s="3">
        <v>0</v>
      </c>
      <c r="E1992" s="3">
        <v>0</v>
      </c>
      <c r="F1992" s="3">
        <v>500</v>
      </c>
      <c r="G1992" s="5">
        <v>500</v>
      </c>
    </row>
    <row r="1993" spans="1:8" ht="15" customHeight="1" x14ac:dyDescent="0.25">
      <c r="A1993" s="2" t="s">
        <v>1478</v>
      </c>
      <c r="B1993" s="2" t="s">
        <v>907</v>
      </c>
      <c r="C1993" s="3">
        <v>117287.42</v>
      </c>
      <c r="D1993" s="3">
        <v>84306.7</v>
      </c>
      <c r="E1993" s="3">
        <v>84306.7</v>
      </c>
      <c r="F1993" s="3">
        <v>84306.7</v>
      </c>
      <c r="G1993" s="5">
        <v>117287.42</v>
      </c>
    </row>
    <row r="1994" spans="1:8" x14ac:dyDescent="0.25">
      <c r="A1994" s="2" t="s">
        <v>1479</v>
      </c>
      <c r="B1994" s="2" t="s">
        <v>598</v>
      </c>
      <c r="C1994" s="3">
        <v>61839.34</v>
      </c>
      <c r="D1994" s="3">
        <v>43389.64</v>
      </c>
      <c r="E1994" s="3">
        <v>43389.64</v>
      </c>
      <c r="F1994" s="3">
        <v>43389.64</v>
      </c>
      <c r="G1994" s="5">
        <v>61839.34</v>
      </c>
    </row>
    <row r="1995" spans="1:8" x14ac:dyDescent="0.25">
      <c r="A1995" s="2" t="s">
        <v>1480</v>
      </c>
      <c r="B1995" s="2" t="s">
        <v>15</v>
      </c>
      <c r="C1995" s="3">
        <v>25133.3</v>
      </c>
      <c r="D1995" s="3">
        <v>9072.8700000000008</v>
      </c>
      <c r="E1995" s="3">
        <v>9072.8700000000008</v>
      </c>
      <c r="F1995" s="3">
        <v>9072.8700000000008</v>
      </c>
      <c r="G1995" s="5">
        <v>12500</v>
      </c>
    </row>
    <row r="1996" spans="1:8" x14ac:dyDescent="0.25">
      <c r="A1996" s="2" t="s">
        <v>1481</v>
      </c>
      <c r="B1996" s="2" t="s">
        <v>1482</v>
      </c>
      <c r="C1996" s="3">
        <v>1665</v>
      </c>
      <c r="D1996" s="3">
        <v>8459.44</v>
      </c>
      <c r="E1996" s="3">
        <v>10922.8</v>
      </c>
      <c r="F1996" s="3">
        <v>60000</v>
      </c>
      <c r="G1996" s="5">
        <v>60000</v>
      </c>
    </row>
    <row r="1997" spans="1:8" ht="15" customHeight="1" x14ac:dyDescent="0.25">
      <c r="A1997" s="2" t="s">
        <v>1483</v>
      </c>
      <c r="B1997" s="2" t="s">
        <v>1484</v>
      </c>
      <c r="C1997" s="3">
        <v>34098.04</v>
      </c>
      <c r="D1997" s="3">
        <v>14048.07</v>
      </c>
      <c r="E1997" s="3">
        <v>26913.26</v>
      </c>
      <c r="F1997" s="3">
        <v>21000</v>
      </c>
      <c r="G1997" s="5">
        <v>40000</v>
      </c>
      <c r="H1997" t="s">
        <v>3416</v>
      </c>
    </row>
    <row r="1998" spans="1:8" ht="15" customHeight="1" x14ac:dyDescent="0.25">
      <c r="A1998" s="2" t="s">
        <v>1485</v>
      </c>
      <c r="B1998" s="2" t="s">
        <v>59</v>
      </c>
      <c r="C1998" s="3">
        <v>258.07</v>
      </c>
      <c r="D1998" s="3">
        <v>292.99</v>
      </c>
      <c r="E1998" s="3">
        <v>456.03</v>
      </c>
      <c r="F1998" s="3">
        <v>5000</v>
      </c>
      <c r="G1998" s="5">
        <v>0</v>
      </c>
    </row>
    <row r="1999" spans="1:8" ht="15" customHeight="1" x14ac:dyDescent="0.25">
      <c r="A1999" s="2" t="s">
        <v>1486</v>
      </c>
      <c r="B1999" s="2" t="s">
        <v>99</v>
      </c>
      <c r="C1999" s="3">
        <v>6255.51</v>
      </c>
      <c r="D1999" s="3">
        <v>2204.41</v>
      </c>
      <c r="E1999" s="3">
        <v>4211.0600000000004</v>
      </c>
      <c r="F1999" s="3">
        <v>5700</v>
      </c>
      <c r="G1999" s="5">
        <v>7000</v>
      </c>
    </row>
    <row r="2000" spans="1:8" ht="15" customHeight="1" x14ac:dyDescent="0.25">
      <c r="A2000" s="2" t="s">
        <v>1487</v>
      </c>
      <c r="B2000" s="2" t="s">
        <v>17</v>
      </c>
      <c r="C2000" s="3">
        <v>0</v>
      </c>
      <c r="D2000" s="3">
        <v>0</v>
      </c>
      <c r="E2000" s="3">
        <v>0</v>
      </c>
      <c r="F2000" s="3">
        <v>500</v>
      </c>
      <c r="G2000" s="5">
        <v>0</v>
      </c>
    </row>
    <row r="2001" spans="1:8" ht="15" customHeight="1" x14ac:dyDescent="0.25">
      <c r="A2001" s="2" t="s">
        <v>1488</v>
      </c>
      <c r="B2001" s="2" t="s">
        <v>144</v>
      </c>
      <c r="C2001" s="3">
        <v>84.79</v>
      </c>
      <c r="D2001" s="3">
        <v>0</v>
      </c>
      <c r="E2001" s="3">
        <v>0</v>
      </c>
      <c r="F2001" s="3">
        <v>250</v>
      </c>
      <c r="G2001" s="5">
        <v>0</v>
      </c>
    </row>
    <row r="2002" spans="1:8" ht="15" customHeight="1" x14ac:dyDescent="0.25">
      <c r="A2002" s="2" t="s">
        <v>1489</v>
      </c>
      <c r="B2002" s="2" t="s">
        <v>917</v>
      </c>
      <c r="C2002" s="3">
        <v>968.39</v>
      </c>
      <c r="D2002" s="3">
        <v>403.7</v>
      </c>
      <c r="E2002" s="3">
        <v>726.66</v>
      </c>
      <c r="F2002" s="3">
        <v>1000</v>
      </c>
      <c r="G2002" s="5">
        <v>1100</v>
      </c>
    </row>
    <row r="2003" spans="1:8" ht="15" customHeight="1" x14ac:dyDescent="0.25">
      <c r="A2003" s="2" t="s">
        <v>1490</v>
      </c>
      <c r="B2003" s="2" t="s">
        <v>62</v>
      </c>
      <c r="C2003" s="3">
        <v>635.59</v>
      </c>
      <c r="D2003" s="3">
        <v>243.52</v>
      </c>
      <c r="E2003" s="3">
        <v>454.94</v>
      </c>
      <c r="F2003" s="3">
        <v>700</v>
      </c>
      <c r="G2003" s="5">
        <v>720</v>
      </c>
    </row>
    <row r="2004" spans="1:8" ht="15" customHeight="1" x14ac:dyDescent="0.25">
      <c r="A2004" s="2" t="s">
        <v>1491</v>
      </c>
      <c r="B2004" s="2" t="s">
        <v>1492</v>
      </c>
      <c r="C2004" s="3">
        <v>2619.62</v>
      </c>
      <c r="D2004" s="3">
        <v>24.36</v>
      </c>
      <c r="E2004" s="3">
        <v>48.72</v>
      </c>
      <c r="F2004" s="3">
        <v>500</v>
      </c>
      <c r="G2004" s="5">
        <v>0</v>
      </c>
    </row>
    <row r="2005" spans="1:8" ht="15" customHeight="1" x14ac:dyDescent="0.25">
      <c r="A2005" s="2" t="s">
        <v>1493</v>
      </c>
      <c r="B2005" s="2" t="s">
        <v>1303</v>
      </c>
      <c r="C2005" s="3">
        <v>138148.94</v>
      </c>
      <c r="D2005" s="3">
        <v>51456.71</v>
      </c>
      <c r="E2005" s="3">
        <v>97664.58</v>
      </c>
      <c r="F2005" s="3">
        <v>103770</v>
      </c>
      <c r="G2005" s="5">
        <v>0</v>
      </c>
      <c r="H2005" t="s">
        <v>3417</v>
      </c>
    </row>
    <row r="2006" spans="1:8" ht="15" customHeight="1" x14ac:dyDescent="0.25">
      <c r="A2006" s="2" t="s">
        <v>1494</v>
      </c>
      <c r="B2006" s="2" t="s">
        <v>1495</v>
      </c>
      <c r="C2006" s="3">
        <v>648347.09</v>
      </c>
      <c r="D2006" s="3">
        <v>239725.84</v>
      </c>
      <c r="E2006" s="3">
        <v>453148.73</v>
      </c>
      <c r="F2006" s="3">
        <v>436693</v>
      </c>
      <c r="G2006" s="5">
        <v>0</v>
      </c>
      <c r="H2006" t="s">
        <v>3417</v>
      </c>
    </row>
    <row r="2007" spans="1:8" ht="15" customHeight="1" x14ac:dyDescent="0.25">
      <c r="A2007" s="1" t="s">
        <v>1306</v>
      </c>
      <c r="B2007" s="1" t="s">
        <v>2</v>
      </c>
      <c r="C2007" s="4">
        <v>1228108.8799999999</v>
      </c>
      <c r="D2007" s="4">
        <v>541235.81999999995</v>
      </c>
      <c r="E2007" s="4">
        <f>SUM(E1983:E2006)</f>
        <v>886337.92999999993</v>
      </c>
      <c r="F2007" s="6">
        <f>SUM(F1983:F2006)</f>
        <v>1025366.94</v>
      </c>
      <c r="G2007" s="6">
        <f>SUM(G1983:G2006)</f>
        <v>567789.78514999989</v>
      </c>
    </row>
    <row r="2008" spans="1:8" x14ac:dyDescent="0.25">
      <c r="A2008" s="1" t="s">
        <v>2</v>
      </c>
      <c r="B2008" s="1" t="s">
        <v>2</v>
      </c>
      <c r="C2008" s="1" t="s">
        <v>2</v>
      </c>
      <c r="D2008" s="1" t="s">
        <v>2</v>
      </c>
      <c r="E2008" s="1"/>
      <c r="F2008" s="1" t="s">
        <v>2</v>
      </c>
      <c r="G2008" s="1" t="s">
        <v>2</v>
      </c>
    </row>
    <row r="2009" spans="1:8" ht="15" customHeight="1" x14ac:dyDescent="0.25">
      <c r="A2009" s="1" t="s">
        <v>1307</v>
      </c>
      <c r="B2009" s="1" t="s">
        <v>2</v>
      </c>
    </row>
    <row r="2010" spans="1:8" ht="15" customHeight="1" x14ac:dyDescent="0.25">
      <c r="A2010" s="2" t="s">
        <v>1496</v>
      </c>
      <c r="B2010" s="2" t="s">
        <v>108</v>
      </c>
      <c r="C2010" s="3">
        <v>175028.05</v>
      </c>
      <c r="D2010" s="3">
        <v>99088.3</v>
      </c>
      <c r="E2010" s="3">
        <v>145195.57999999999</v>
      </c>
      <c r="F2010" s="3">
        <v>170679.92</v>
      </c>
      <c r="G2010" s="5">
        <f t="shared" ref="G2010:G2019" si="54">F2010*1.055</f>
        <v>180067.3156</v>
      </c>
    </row>
    <row r="2011" spans="1:8" ht="15" customHeight="1" x14ac:dyDescent="0.25">
      <c r="A2011" s="2" t="s">
        <v>1497</v>
      </c>
      <c r="B2011" s="2" t="s">
        <v>786</v>
      </c>
      <c r="C2011" s="3">
        <v>6624.39</v>
      </c>
      <c r="D2011" s="3">
        <v>457.41</v>
      </c>
      <c r="E2011" s="3">
        <v>2551.3000000000002</v>
      </c>
      <c r="F2011" s="3">
        <v>5914.57</v>
      </c>
      <c r="G2011" s="5">
        <f t="shared" si="54"/>
        <v>6239.8713499999994</v>
      </c>
    </row>
    <row r="2012" spans="1:8" ht="15" customHeight="1" x14ac:dyDescent="0.25">
      <c r="A2012" s="2" t="s">
        <v>1498</v>
      </c>
      <c r="B2012" s="2" t="s">
        <v>29</v>
      </c>
      <c r="C2012" s="3">
        <v>48220.59</v>
      </c>
      <c r="D2012" s="3">
        <v>28194.65</v>
      </c>
      <c r="E2012" s="3">
        <v>40385.589999999997</v>
      </c>
      <c r="F2012" s="3">
        <v>54515.93</v>
      </c>
      <c r="G2012" s="5">
        <f t="shared" si="54"/>
        <v>57514.306149999997</v>
      </c>
    </row>
    <row r="2013" spans="1:8" ht="15" customHeight="1" x14ac:dyDescent="0.25">
      <c r="A2013" s="2" t="s">
        <v>1499</v>
      </c>
      <c r="B2013" s="2" t="s">
        <v>128</v>
      </c>
      <c r="C2013" s="3">
        <v>4028.14</v>
      </c>
      <c r="D2013" s="3">
        <v>1858.18</v>
      </c>
      <c r="E2013" s="3">
        <v>2673.66</v>
      </c>
      <c r="F2013" s="3">
        <v>4438.3500000000004</v>
      </c>
      <c r="G2013" s="5">
        <f t="shared" si="54"/>
        <v>4682.4592499999999</v>
      </c>
    </row>
    <row r="2014" spans="1:8" ht="15" customHeight="1" x14ac:dyDescent="0.25">
      <c r="A2014" s="2" t="s">
        <v>1500</v>
      </c>
      <c r="B2014" s="2" t="s">
        <v>33</v>
      </c>
      <c r="C2014" s="3">
        <v>23149.99</v>
      </c>
      <c r="D2014" s="3">
        <v>11928.2</v>
      </c>
      <c r="E2014" s="3">
        <v>17469.71</v>
      </c>
      <c r="F2014" s="3">
        <v>19476.259999999998</v>
      </c>
      <c r="G2014" s="5">
        <f t="shared" si="54"/>
        <v>20547.454299999998</v>
      </c>
    </row>
    <row r="2015" spans="1:8" ht="15" customHeight="1" x14ac:dyDescent="0.25">
      <c r="A2015" s="2" t="s">
        <v>1501</v>
      </c>
      <c r="B2015" s="2" t="s">
        <v>11</v>
      </c>
      <c r="C2015" s="3">
        <v>13194.88</v>
      </c>
      <c r="D2015" s="3">
        <v>7465.78</v>
      </c>
      <c r="E2015" s="3">
        <v>10945</v>
      </c>
      <c r="F2015" s="3">
        <v>13057.01</v>
      </c>
      <c r="G2015" s="5">
        <f t="shared" si="54"/>
        <v>13775.145549999999</v>
      </c>
    </row>
    <row r="2016" spans="1:8" ht="15" customHeight="1" x14ac:dyDescent="0.25">
      <c r="A2016" s="2" t="s">
        <v>1502</v>
      </c>
      <c r="B2016" s="2" t="s">
        <v>85</v>
      </c>
      <c r="C2016" s="3">
        <v>1513.52</v>
      </c>
      <c r="D2016" s="3">
        <v>989.7</v>
      </c>
      <c r="E2016" s="3">
        <v>989.7</v>
      </c>
      <c r="F2016" s="3">
        <v>1122</v>
      </c>
      <c r="G2016" s="5">
        <f t="shared" si="54"/>
        <v>1183.71</v>
      </c>
    </row>
    <row r="2017" spans="1:7" ht="15" customHeight="1" x14ac:dyDescent="0.25">
      <c r="A2017" s="2" t="s">
        <v>1503</v>
      </c>
      <c r="B2017" s="2" t="s">
        <v>13</v>
      </c>
      <c r="C2017" s="3">
        <v>266.74</v>
      </c>
      <c r="D2017" s="3">
        <v>217.05</v>
      </c>
      <c r="E2017" s="3">
        <v>320.06</v>
      </c>
      <c r="F2017" s="3">
        <v>259.58999999999997</v>
      </c>
      <c r="G2017" s="5">
        <f t="shared" si="54"/>
        <v>273.86744999999996</v>
      </c>
    </row>
    <row r="2018" spans="1:7" ht="15" customHeight="1" x14ac:dyDescent="0.25">
      <c r="A2018" s="2" t="s">
        <v>1504</v>
      </c>
      <c r="B2018" s="2" t="s">
        <v>577</v>
      </c>
      <c r="C2018" s="3">
        <v>142.97999999999999</v>
      </c>
      <c r="D2018" s="3">
        <v>7.53</v>
      </c>
      <c r="E2018" s="3">
        <v>38.25</v>
      </c>
      <c r="F2018" s="3">
        <v>157.81</v>
      </c>
      <c r="G2018" s="5">
        <f t="shared" si="54"/>
        <v>166.48954999999998</v>
      </c>
    </row>
    <row r="2019" spans="1:7" ht="15" customHeight="1" x14ac:dyDescent="0.25">
      <c r="A2019" s="2" t="s">
        <v>1505</v>
      </c>
      <c r="B2019" s="2" t="s">
        <v>579</v>
      </c>
      <c r="C2019" s="3">
        <v>838.06</v>
      </c>
      <c r="D2019" s="3">
        <v>52.33</v>
      </c>
      <c r="E2019" s="3">
        <v>295.14999999999998</v>
      </c>
      <c r="F2019" s="3">
        <v>721.1</v>
      </c>
      <c r="G2019" s="5">
        <f t="shared" si="54"/>
        <v>760.76049999999998</v>
      </c>
    </row>
    <row r="2020" spans="1:7" ht="15" customHeight="1" x14ac:dyDescent="0.25">
      <c r="A2020" s="2" t="s">
        <v>1506</v>
      </c>
      <c r="B2020" s="2" t="s">
        <v>581</v>
      </c>
      <c r="C2020" s="3">
        <v>500.36</v>
      </c>
      <c r="D2020" s="3">
        <v>34.58</v>
      </c>
      <c r="E2020" s="3">
        <v>192.45</v>
      </c>
      <c r="F2020" s="3">
        <v>452.46</v>
      </c>
      <c r="G2020" s="5">
        <f>F2020*1.055</f>
        <v>477.34529999999995</v>
      </c>
    </row>
    <row r="2021" spans="1:7" ht="15" customHeight="1" x14ac:dyDescent="0.25">
      <c r="A2021" s="2" t="s">
        <v>1507</v>
      </c>
      <c r="B2021" s="2" t="s">
        <v>458</v>
      </c>
      <c r="C2021" s="3">
        <v>591.63</v>
      </c>
      <c r="D2021" s="3">
        <v>158.32</v>
      </c>
      <c r="E2021" s="3">
        <v>174.08</v>
      </c>
      <c r="F2021" s="3">
        <v>635.42999999999995</v>
      </c>
      <c r="G2021" s="5">
        <v>600</v>
      </c>
    </row>
    <row r="2022" spans="1:7" ht="15" customHeight="1" x14ac:dyDescent="0.25">
      <c r="A2022" s="2" t="s">
        <v>1508</v>
      </c>
      <c r="B2022" s="2" t="s">
        <v>585</v>
      </c>
      <c r="C2022" s="3">
        <v>300</v>
      </c>
      <c r="D2022" s="3">
        <v>0</v>
      </c>
      <c r="E2022" s="3">
        <v>39.33</v>
      </c>
      <c r="F2022" s="3">
        <v>135</v>
      </c>
      <c r="G2022" s="5">
        <v>150</v>
      </c>
    </row>
    <row r="2023" spans="1:7" ht="15" customHeight="1" x14ac:dyDescent="0.25">
      <c r="A2023" s="2" t="s">
        <v>1509</v>
      </c>
      <c r="B2023" s="2" t="s">
        <v>1510</v>
      </c>
      <c r="C2023" s="3">
        <v>54742.64</v>
      </c>
      <c r="D2023" s="3">
        <v>15655.89</v>
      </c>
      <c r="E2023" s="3">
        <v>21405.42</v>
      </c>
      <c r="F2023" s="3">
        <v>75000</v>
      </c>
      <c r="G2023" s="3">
        <v>75000</v>
      </c>
    </row>
    <row r="2024" spans="1:7" ht="15" customHeight="1" x14ac:dyDescent="0.25">
      <c r="A2024" s="2" t="s">
        <v>1511</v>
      </c>
      <c r="B2024" s="2" t="s">
        <v>905</v>
      </c>
      <c r="C2024" s="3">
        <v>4691.6400000000003</v>
      </c>
      <c r="D2024" s="3">
        <v>315.51</v>
      </c>
      <c r="E2024" s="3">
        <v>342.48</v>
      </c>
      <c r="F2024" s="3">
        <v>2500</v>
      </c>
      <c r="G2024" s="3">
        <v>2500</v>
      </c>
    </row>
    <row r="2025" spans="1:7" x14ac:dyDescent="0.25">
      <c r="A2025" s="2" t="s">
        <v>1512</v>
      </c>
      <c r="B2025" s="2" t="s">
        <v>1513</v>
      </c>
      <c r="C2025" s="3">
        <v>3645.42</v>
      </c>
      <c r="D2025" s="3">
        <v>611.02</v>
      </c>
      <c r="E2025" s="3">
        <v>6430.32</v>
      </c>
      <c r="F2025" s="3">
        <v>2500</v>
      </c>
      <c r="G2025" s="3">
        <v>2500</v>
      </c>
    </row>
    <row r="2026" spans="1:7" x14ac:dyDescent="0.25">
      <c r="A2026" s="2" t="s">
        <v>1514</v>
      </c>
      <c r="B2026" s="2" t="s">
        <v>1515</v>
      </c>
      <c r="C2026" s="3">
        <v>0</v>
      </c>
      <c r="D2026" s="3">
        <v>22906.61</v>
      </c>
      <c r="E2026" s="3">
        <v>22906.61</v>
      </c>
      <c r="F2026" s="3">
        <v>0</v>
      </c>
      <c r="G2026" s="3">
        <v>0</v>
      </c>
    </row>
    <row r="2027" spans="1:7" ht="15" customHeight="1" x14ac:dyDescent="0.25">
      <c r="A2027" s="2" t="s">
        <v>1516</v>
      </c>
      <c r="B2027" s="2" t="s">
        <v>17</v>
      </c>
      <c r="C2027" s="3">
        <v>0</v>
      </c>
      <c r="D2027" s="3">
        <v>0</v>
      </c>
      <c r="E2027" s="3">
        <v>0</v>
      </c>
      <c r="F2027" s="3">
        <v>0</v>
      </c>
      <c r="G2027" s="3">
        <v>0</v>
      </c>
    </row>
    <row r="2028" spans="1:7" ht="15" customHeight="1" x14ac:dyDescent="0.25">
      <c r="A2028" s="2" t="s">
        <v>1517</v>
      </c>
      <c r="B2028" s="2" t="s">
        <v>947</v>
      </c>
      <c r="C2028" s="3">
        <v>0</v>
      </c>
      <c r="D2028" s="3">
        <v>0</v>
      </c>
      <c r="E2028" s="3">
        <v>0</v>
      </c>
      <c r="F2028" s="3">
        <v>0</v>
      </c>
      <c r="G2028" s="3">
        <v>0</v>
      </c>
    </row>
    <row r="2029" spans="1:7" ht="15" customHeight="1" x14ac:dyDescent="0.25">
      <c r="A2029" s="2" t="s">
        <v>1518</v>
      </c>
      <c r="B2029" s="2" t="s">
        <v>64</v>
      </c>
      <c r="C2029" s="3">
        <v>1236.82</v>
      </c>
      <c r="D2029" s="3">
        <v>229.65</v>
      </c>
      <c r="E2029" s="3">
        <v>413.37</v>
      </c>
      <c r="F2029" s="3">
        <v>2500</v>
      </c>
      <c r="G2029" s="3">
        <v>2500</v>
      </c>
    </row>
    <row r="2030" spans="1:7" ht="15" customHeight="1" x14ac:dyDescent="0.25">
      <c r="A2030" s="2" t="s">
        <v>1519</v>
      </c>
      <c r="B2030" s="2" t="s">
        <v>956</v>
      </c>
      <c r="C2030" s="3">
        <v>490</v>
      </c>
      <c r="D2030" s="3">
        <v>0</v>
      </c>
      <c r="E2030" s="3">
        <v>0</v>
      </c>
      <c r="F2030" s="3">
        <v>1200</v>
      </c>
      <c r="G2030" s="3">
        <v>1200</v>
      </c>
    </row>
    <row r="2031" spans="1:7" ht="15" customHeight="1" x14ac:dyDescent="0.25">
      <c r="A2031" s="1" t="s">
        <v>1336</v>
      </c>
      <c r="B2031" s="1" t="s">
        <v>2</v>
      </c>
      <c r="C2031" s="4">
        <v>339205.85</v>
      </c>
      <c r="D2031" s="4">
        <v>190170.71</v>
      </c>
      <c r="E2031" s="4">
        <f>SUM(E2010:E2030)</f>
        <v>272768.06</v>
      </c>
      <c r="F2031" s="6">
        <f>SUM(F2010:F2030)</f>
        <v>355265.43000000005</v>
      </c>
      <c r="G2031" s="6">
        <f>SUM(G2010:G2030)</f>
        <v>370138.72499999998</v>
      </c>
    </row>
    <row r="2032" spans="1:7" x14ac:dyDescent="0.25">
      <c r="A2032" s="1" t="s">
        <v>2</v>
      </c>
      <c r="B2032" s="1" t="s">
        <v>2</v>
      </c>
      <c r="C2032" s="1" t="s">
        <v>2</v>
      </c>
      <c r="D2032" s="1" t="s">
        <v>2</v>
      </c>
      <c r="E2032" s="1"/>
      <c r="F2032" s="1" t="s">
        <v>2</v>
      </c>
      <c r="G2032" s="1" t="s">
        <v>2</v>
      </c>
    </row>
    <row r="2033" spans="1:7" ht="15" customHeight="1" x14ac:dyDescent="0.25">
      <c r="A2033" s="1" t="s">
        <v>1520</v>
      </c>
      <c r="B2033" s="1" t="s">
        <v>2</v>
      </c>
    </row>
    <row r="2034" spans="1:7" ht="15" customHeight="1" x14ac:dyDescent="0.25">
      <c r="A2034" s="2" t="s">
        <v>1521</v>
      </c>
      <c r="B2034" s="2" t="s">
        <v>144</v>
      </c>
      <c r="C2034" s="3">
        <v>0</v>
      </c>
      <c r="D2034" s="3">
        <v>0</v>
      </c>
      <c r="E2034" s="3">
        <v>0</v>
      </c>
      <c r="F2034" s="3">
        <v>0</v>
      </c>
      <c r="G2034" s="5">
        <v>0</v>
      </c>
    </row>
    <row r="2035" spans="1:7" ht="15" customHeight="1" x14ac:dyDescent="0.25">
      <c r="A2035" s="2" t="s">
        <v>1522</v>
      </c>
      <c r="B2035" s="2" t="s">
        <v>1523</v>
      </c>
      <c r="C2035" s="3">
        <v>446408.78</v>
      </c>
      <c r="D2035" s="3">
        <v>4142</v>
      </c>
      <c r="E2035" s="3">
        <v>126831.29</v>
      </c>
      <c r="F2035" s="3">
        <v>135000</v>
      </c>
      <c r="G2035" s="5">
        <v>125000</v>
      </c>
    </row>
    <row r="2036" spans="1:7" ht="15" customHeight="1" x14ac:dyDescent="0.25">
      <c r="A2036" s="2" t="s">
        <v>1524</v>
      </c>
      <c r="B2036" s="2" t="s">
        <v>1525</v>
      </c>
      <c r="C2036" s="3">
        <v>5194.57</v>
      </c>
      <c r="D2036" s="3">
        <v>3140.37</v>
      </c>
      <c r="E2036" s="3">
        <v>3140.37</v>
      </c>
      <c r="F2036" s="3">
        <v>7000</v>
      </c>
      <c r="G2036" s="5">
        <v>8000</v>
      </c>
    </row>
    <row r="2037" spans="1:7" ht="15" customHeight="1" x14ac:dyDescent="0.25">
      <c r="A2037" s="1" t="s">
        <v>1526</v>
      </c>
      <c r="B2037" s="1" t="s">
        <v>2</v>
      </c>
      <c r="C2037" s="4">
        <v>451603.35</v>
      </c>
      <c r="D2037" s="4">
        <v>7282.37</v>
      </c>
      <c r="E2037" s="4">
        <f>SUM(E2034:E2036)</f>
        <v>129971.65999999999</v>
      </c>
      <c r="F2037" s="6">
        <f>SUM(F2034:F2036)</f>
        <v>142000</v>
      </c>
      <c r="G2037" s="6">
        <f>SUM(G2034:G2036)</f>
        <v>133000</v>
      </c>
    </row>
    <row r="2038" spans="1:7" x14ac:dyDescent="0.25">
      <c r="A2038" s="1" t="s">
        <v>2</v>
      </c>
      <c r="B2038" s="1" t="s">
        <v>2</v>
      </c>
      <c r="C2038" s="1" t="s">
        <v>2</v>
      </c>
      <c r="D2038" s="1" t="s">
        <v>2</v>
      </c>
      <c r="E2038" s="1"/>
      <c r="F2038" s="1" t="s">
        <v>2</v>
      </c>
      <c r="G2038" s="1" t="s">
        <v>2</v>
      </c>
    </row>
    <row r="2039" spans="1:7" ht="15" customHeight="1" x14ac:dyDescent="0.25">
      <c r="A2039" s="1" t="s">
        <v>1527</v>
      </c>
      <c r="B2039" s="1" t="s">
        <v>2</v>
      </c>
    </row>
    <row r="2040" spans="1:7" ht="15" customHeight="1" x14ac:dyDescent="0.25">
      <c r="A2040" s="2" t="s">
        <v>1528</v>
      </c>
      <c r="B2040" s="2" t="s">
        <v>786</v>
      </c>
      <c r="C2040" s="3">
        <v>34753.449999999997</v>
      </c>
      <c r="D2040" s="3">
        <v>18342.689999999999</v>
      </c>
      <c r="E2040" s="3">
        <v>27920.52</v>
      </c>
      <c r="F2040" s="3">
        <v>0</v>
      </c>
      <c r="G2040" s="5">
        <f t="shared" ref="G2040:G2050" si="55">F2040*1.055</f>
        <v>0</v>
      </c>
    </row>
    <row r="2041" spans="1:7" ht="15" customHeight="1" x14ac:dyDescent="0.25">
      <c r="A2041" s="2" t="s">
        <v>1529</v>
      </c>
      <c r="B2041" s="2" t="s">
        <v>108</v>
      </c>
      <c r="C2041" s="3">
        <v>218452.35</v>
      </c>
      <c r="D2041" s="3">
        <v>102113.64</v>
      </c>
      <c r="E2041" s="3">
        <v>179967.73</v>
      </c>
      <c r="F2041" s="3">
        <v>258550.04</v>
      </c>
      <c r="G2041" s="5">
        <f t="shared" si="55"/>
        <v>272770.29219999997</v>
      </c>
    </row>
    <row r="2042" spans="1:7" ht="15" customHeight="1" x14ac:dyDescent="0.25">
      <c r="A2042" s="2" t="s">
        <v>1530</v>
      </c>
      <c r="B2042" s="2" t="s">
        <v>1341</v>
      </c>
      <c r="C2042" s="3">
        <v>0</v>
      </c>
      <c r="D2042" s="3">
        <v>0</v>
      </c>
      <c r="E2042" s="3">
        <v>0</v>
      </c>
      <c r="F2042" s="3">
        <v>2584</v>
      </c>
      <c r="G2042" s="5">
        <f t="shared" si="55"/>
        <v>2726.12</v>
      </c>
    </row>
    <row r="2043" spans="1:7" ht="15" customHeight="1" x14ac:dyDescent="0.25">
      <c r="A2043" s="2" t="s">
        <v>1531</v>
      </c>
      <c r="B2043" s="2" t="s">
        <v>29</v>
      </c>
      <c r="C2043" s="3">
        <v>59663.98</v>
      </c>
      <c r="D2043" s="3">
        <v>29962.43</v>
      </c>
      <c r="E2043" s="3">
        <v>52131.08</v>
      </c>
      <c r="F2043" s="3">
        <v>67370.98</v>
      </c>
      <c r="G2043" s="5">
        <f t="shared" si="55"/>
        <v>71076.383899999986</v>
      </c>
    </row>
    <row r="2044" spans="1:7" ht="15" customHeight="1" x14ac:dyDescent="0.25">
      <c r="A2044" s="2" t="s">
        <v>1532</v>
      </c>
      <c r="B2044" s="2" t="s">
        <v>128</v>
      </c>
      <c r="C2044" s="3">
        <v>4875.83</v>
      </c>
      <c r="D2044" s="3">
        <v>1674.85</v>
      </c>
      <c r="E2044" s="3">
        <v>3045.41</v>
      </c>
      <c r="F2044" s="3">
        <v>6904.1</v>
      </c>
      <c r="G2044" s="5">
        <f t="shared" si="55"/>
        <v>7283.8254999999999</v>
      </c>
    </row>
    <row r="2045" spans="1:7" ht="15" customHeight="1" x14ac:dyDescent="0.25">
      <c r="A2045" s="2" t="s">
        <v>1533</v>
      </c>
      <c r="B2045" s="2" t="s">
        <v>33</v>
      </c>
      <c r="C2045" s="3">
        <v>24379.91</v>
      </c>
      <c r="D2045" s="3">
        <v>10295.31</v>
      </c>
      <c r="E2045" s="3">
        <v>18229.68</v>
      </c>
      <c r="F2045" s="3">
        <v>30904.18</v>
      </c>
      <c r="G2045" s="5">
        <f t="shared" si="55"/>
        <v>32603.909899999999</v>
      </c>
    </row>
    <row r="2046" spans="1:7" ht="15" customHeight="1" x14ac:dyDescent="0.25">
      <c r="A2046" s="2" t="s">
        <v>1534</v>
      </c>
      <c r="B2046" s="2" t="s">
        <v>11</v>
      </c>
      <c r="C2046" s="3">
        <v>16451.79</v>
      </c>
      <c r="D2046" s="3">
        <v>7685.62</v>
      </c>
      <c r="E2046" s="3">
        <v>13547.78</v>
      </c>
      <c r="F2046" s="3">
        <v>19976.75</v>
      </c>
      <c r="G2046" s="5">
        <f t="shared" si="55"/>
        <v>21075.471249999999</v>
      </c>
    </row>
    <row r="2047" spans="1:7" ht="15" customHeight="1" x14ac:dyDescent="0.25">
      <c r="A2047" s="2" t="s">
        <v>1535</v>
      </c>
      <c r="B2047" s="2" t="s">
        <v>1347</v>
      </c>
      <c r="C2047" s="3">
        <v>3921.86</v>
      </c>
      <c r="D2047" s="3">
        <v>1668.61</v>
      </c>
      <c r="E2047" s="3">
        <v>2831.99</v>
      </c>
      <c r="F2047" s="3">
        <v>0</v>
      </c>
      <c r="G2047" s="5">
        <f t="shared" si="55"/>
        <v>0</v>
      </c>
    </row>
    <row r="2048" spans="1:7" ht="15" customHeight="1" x14ac:dyDescent="0.25">
      <c r="A2048" s="2" t="s">
        <v>1536</v>
      </c>
      <c r="B2048" s="2" t="s">
        <v>13</v>
      </c>
      <c r="C2048" s="3">
        <v>370.77</v>
      </c>
      <c r="D2048" s="3">
        <v>256.23</v>
      </c>
      <c r="E2048" s="3">
        <v>441.89</v>
      </c>
      <c r="F2048" s="3">
        <v>383.87</v>
      </c>
      <c r="G2048" s="5">
        <f t="shared" si="55"/>
        <v>404.98284999999998</v>
      </c>
    </row>
    <row r="2049" spans="1:8" ht="15" customHeight="1" x14ac:dyDescent="0.25">
      <c r="A2049" s="2" t="s">
        <v>1537</v>
      </c>
      <c r="B2049" s="2" t="s">
        <v>577</v>
      </c>
      <c r="C2049" s="3">
        <v>641.39</v>
      </c>
      <c r="D2049" s="3">
        <v>241.09</v>
      </c>
      <c r="E2049" s="3">
        <v>363.12</v>
      </c>
      <c r="F2049" s="3">
        <v>0</v>
      </c>
      <c r="G2049" s="5">
        <f t="shared" si="55"/>
        <v>0</v>
      </c>
    </row>
    <row r="2050" spans="1:8" ht="15" customHeight="1" x14ac:dyDescent="0.25">
      <c r="A2050" s="2" t="s">
        <v>1538</v>
      </c>
      <c r="B2050" s="2" t="s">
        <v>579</v>
      </c>
      <c r="C2050" s="3">
        <v>3962.01</v>
      </c>
      <c r="D2050" s="3">
        <v>1908.65</v>
      </c>
      <c r="E2050" s="3">
        <v>2885.77</v>
      </c>
      <c r="F2050" s="3">
        <v>0</v>
      </c>
      <c r="G2050" s="5">
        <f t="shared" si="55"/>
        <v>0</v>
      </c>
    </row>
    <row r="2051" spans="1:8" ht="15" customHeight="1" x14ac:dyDescent="0.25">
      <c r="A2051" s="2" t="s">
        <v>1539</v>
      </c>
      <c r="B2051" s="2" t="s">
        <v>581</v>
      </c>
      <c r="C2051" s="3">
        <v>2621.31</v>
      </c>
      <c r="D2051" s="3">
        <v>1383.35</v>
      </c>
      <c r="E2051" s="3">
        <v>2105.5</v>
      </c>
      <c r="F2051" s="3">
        <v>0</v>
      </c>
      <c r="G2051" s="5">
        <f>F2051*1.055</f>
        <v>0</v>
      </c>
    </row>
    <row r="2052" spans="1:8" ht="15" customHeight="1" x14ac:dyDescent="0.25">
      <c r="A2052" s="2" t="s">
        <v>1540</v>
      </c>
      <c r="B2052" s="2" t="s">
        <v>458</v>
      </c>
      <c r="C2052" s="3">
        <v>789.84</v>
      </c>
      <c r="D2052" s="3">
        <v>268.69</v>
      </c>
      <c r="E2052" s="3">
        <v>325.95</v>
      </c>
      <c r="F2052" s="3">
        <v>825</v>
      </c>
      <c r="G2052" s="5">
        <v>800</v>
      </c>
    </row>
    <row r="2053" spans="1:8" x14ac:dyDescent="0.25">
      <c r="A2053" s="2" t="s">
        <v>1541</v>
      </c>
      <c r="B2053" s="2" t="s">
        <v>1542</v>
      </c>
      <c r="C2053" s="3">
        <v>31421.84</v>
      </c>
      <c r="D2053" s="3">
        <v>32071.93</v>
      </c>
      <c r="E2053" s="3">
        <v>57479.17</v>
      </c>
      <c r="F2053" s="3">
        <v>80000</v>
      </c>
      <c r="G2053" s="5">
        <v>80000</v>
      </c>
    </row>
    <row r="2054" spans="1:8" ht="15" customHeight="1" x14ac:dyDescent="0.25">
      <c r="A2054" s="2" t="s">
        <v>1543</v>
      </c>
      <c r="B2054" s="2" t="s">
        <v>1544</v>
      </c>
      <c r="C2054" s="3">
        <v>12243.44</v>
      </c>
      <c r="D2054" s="3">
        <v>8382.59</v>
      </c>
      <c r="E2054" s="3">
        <v>8641.11</v>
      </c>
      <c r="F2054" s="3">
        <v>10000</v>
      </c>
      <c r="G2054" s="5">
        <v>12000</v>
      </c>
    </row>
    <row r="2055" spans="1:8" ht="15" customHeight="1" x14ac:dyDescent="0.25">
      <c r="A2055" s="2" t="s">
        <v>1545</v>
      </c>
      <c r="B2055" s="2" t="s">
        <v>1546</v>
      </c>
      <c r="C2055" s="3">
        <v>0</v>
      </c>
      <c r="D2055" s="3">
        <v>0</v>
      </c>
      <c r="E2055" s="3">
        <v>0</v>
      </c>
      <c r="F2055" s="3">
        <v>0</v>
      </c>
      <c r="G2055" s="5">
        <v>0</v>
      </c>
    </row>
    <row r="2056" spans="1:8" ht="15" customHeight="1" x14ac:dyDescent="0.25">
      <c r="A2056" s="2" t="s">
        <v>1547</v>
      </c>
      <c r="B2056" s="2" t="s">
        <v>1548</v>
      </c>
      <c r="C2056" s="3">
        <v>109988.14</v>
      </c>
      <c r="D2056" s="3">
        <v>0</v>
      </c>
      <c r="E2056" s="3">
        <v>0</v>
      </c>
      <c r="F2056" s="3">
        <v>50000</v>
      </c>
      <c r="G2056" s="5">
        <v>0</v>
      </c>
    </row>
    <row r="2057" spans="1:8" x14ac:dyDescent="0.25">
      <c r="A2057" s="2" t="s">
        <v>1549</v>
      </c>
      <c r="B2057" s="2" t="s">
        <v>1550</v>
      </c>
      <c r="C2057" s="3">
        <v>79.61</v>
      </c>
      <c r="D2057" s="3">
        <v>0</v>
      </c>
      <c r="E2057" s="3">
        <v>0</v>
      </c>
      <c r="F2057" s="3">
        <v>0</v>
      </c>
      <c r="G2057" s="5">
        <v>5000</v>
      </c>
      <c r="H2057" t="s">
        <v>3444</v>
      </c>
    </row>
    <row r="2058" spans="1:8" ht="15" customHeight="1" x14ac:dyDescent="0.25">
      <c r="A2058" s="2" t="s">
        <v>1551</v>
      </c>
      <c r="B2058" s="2" t="s">
        <v>1370</v>
      </c>
      <c r="C2058" s="3">
        <v>2610.0100000000002</v>
      </c>
      <c r="D2058" s="3">
        <v>1165.45</v>
      </c>
      <c r="E2058" s="3">
        <v>4688.3999999999996</v>
      </c>
      <c r="F2058" s="3">
        <v>2500</v>
      </c>
      <c r="G2058" s="5">
        <v>3000</v>
      </c>
    </row>
    <row r="2059" spans="1:8" x14ac:dyDescent="0.25">
      <c r="A2059" s="2" t="s">
        <v>1552</v>
      </c>
      <c r="B2059" s="2" t="s">
        <v>1553</v>
      </c>
      <c r="C2059" s="3">
        <v>51940.959999999999</v>
      </c>
      <c r="D2059" s="3">
        <v>11770.31</v>
      </c>
      <c r="E2059" s="3">
        <v>22040.53</v>
      </c>
      <c r="F2059" s="3">
        <v>40000</v>
      </c>
      <c r="G2059" s="5">
        <v>40000</v>
      </c>
    </row>
    <row r="2060" spans="1:8" ht="15" customHeight="1" x14ac:dyDescent="0.25">
      <c r="A2060" s="2" t="s">
        <v>1554</v>
      </c>
      <c r="B2060" s="2" t="s">
        <v>1555</v>
      </c>
      <c r="C2060" s="3">
        <v>696.42</v>
      </c>
      <c r="D2060" s="3">
        <v>612</v>
      </c>
      <c r="E2060" s="3">
        <v>629.13</v>
      </c>
      <c r="F2060" s="3">
        <v>5000</v>
      </c>
      <c r="G2060" s="5">
        <v>5000</v>
      </c>
    </row>
    <row r="2061" spans="1:8" ht="15" customHeight="1" x14ac:dyDescent="0.25">
      <c r="A2061" s="2" t="s">
        <v>1556</v>
      </c>
      <c r="B2061" s="2" t="s">
        <v>604</v>
      </c>
      <c r="C2061" s="3">
        <v>949.82</v>
      </c>
      <c r="D2061" s="3">
        <v>0</v>
      </c>
      <c r="E2061" s="3">
        <v>0</v>
      </c>
      <c r="F2061" s="3">
        <v>2500</v>
      </c>
      <c r="G2061" s="5">
        <v>5000</v>
      </c>
      <c r="H2061" t="s">
        <v>3443</v>
      </c>
    </row>
    <row r="2062" spans="1:8" ht="15" customHeight="1" x14ac:dyDescent="0.25">
      <c r="A2062" s="2" t="s">
        <v>1557</v>
      </c>
      <c r="B2062" s="2" t="s">
        <v>57</v>
      </c>
      <c r="C2062" s="3">
        <v>3307.7</v>
      </c>
      <c r="D2062" s="3">
        <v>1340.68</v>
      </c>
      <c r="E2062" s="3">
        <v>3027.08</v>
      </c>
      <c r="F2062" s="3">
        <v>4000</v>
      </c>
      <c r="G2062" s="5">
        <v>4000</v>
      </c>
    </row>
    <row r="2063" spans="1:8" ht="15" customHeight="1" x14ac:dyDescent="0.25">
      <c r="A2063" s="2" t="s">
        <v>1558</v>
      </c>
      <c r="B2063" s="2" t="s">
        <v>17</v>
      </c>
      <c r="C2063" s="3">
        <v>315.18</v>
      </c>
      <c r="D2063" s="3">
        <v>0</v>
      </c>
      <c r="E2063" s="3">
        <v>0</v>
      </c>
      <c r="F2063" s="3">
        <v>1200</v>
      </c>
      <c r="G2063" s="5">
        <v>1500</v>
      </c>
    </row>
    <row r="2064" spans="1:8" ht="15" customHeight="1" x14ac:dyDescent="0.25">
      <c r="A2064" s="2" t="s">
        <v>1559</v>
      </c>
      <c r="B2064" s="2" t="s">
        <v>303</v>
      </c>
      <c r="C2064" s="3">
        <v>747.55</v>
      </c>
      <c r="D2064" s="3">
        <v>314.2</v>
      </c>
      <c r="E2064" s="3">
        <v>558.08000000000004</v>
      </c>
      <c r="F2064" s="3">
        <v>700</v>
      </c>
      <c r="G2064" s="5">
        <v>850</v>
      </c>
    </row>
    <row r="2065" spans="1:8" ht="15" customHeight="1" x14ac:dyDescent="0.25">
      <c r="A2065" s="2" t="s">
        <v>1560</v>
      </c>
      <c r="B2065" s="2" t="s">
        <v>305</v>
      </c>
      <c r="C2065" s="3">
        <v>283773.26</v>
      </c>
      <c r="D2065" s="3">
        <v>89713.89</v>
      </c>
      <c r="E2065" s="3">
        <v>133922.48000000001</v>
      </c>
      <c r="F2065" s="3">
        <v>275000</v>
      </c>
      <c r="G2065" s="5">
        <v>290000</v>
      </c>
    </row>
    <row r="2066" spans="1:8" ht="15" customHeight="1" x14ac:dyDescent="0.25">
      <c r="A2066" s="2" t="s">
        <v>1561</v>
      </c>
      <c r="B2066" s="2" t="s">
        <v>1562</v>
      </c>
      <c r="C2066" s="3">
        <v>504</v>
      </c>
      <c r="D2066" s="3">
        <v>167.47</v>
      </c>
      <c r="E2066" s="3">
        <v>334.16</v>
      </c>
      <c r="F2066" s="3">
        <v>500</v>
      </c>
      <c r="G2066" s="5">
        <v>600</v>
      </c>
    </row>
    <row r="2067" spans="1:8" ht="15" customHeight="1" x14ac:dyDescent="0.25">
      <c r="A2067" s="2" t="s">
        <v>1563</v>
      </c>
      <c r="B2067" s="2" t="s">
        <v>1564</v>
      </c>
      <c r="C2067" s="3">
        <v>0</v>
      </c>
      <c r="D2067" s="3">
        <v>0</v>
      </c>
      <c r="E2067" s="3">
        <v>54.39</v>
      </c>
      <c r="F2067" s="3">
        <v>500</v>
      </c>
      <c r="G2067" s="5">
        <v>500</v>
      </c>
    </row>
    <row r="2068" spans="1:8" ht="15" customHeight="1" x14ac:dyDescent="0.25">
      <c r="A2068" s="2" t="s">
        <v>1565</v>
      </c>
      <c r="B2068" s="2" t="s">
        <v>947</v>
      </c>
      <c r="C2068" s="3">
        <v>372.98</v>
      </c>
      <c r="D2068" s="3">
        <v>151.58000000000001</v>
      </c>
      <c r="E2068" s="3">
        <v>359.51</v>
      </c>
      <c r="F2068" s="3">
        <v>25000</v>
      </c>
      <c r="G2068" s="5">
        <v>25000</v>
      </c>
    </row>
    <row r="2069" spans="1:8" x14ac:dyDescent="0.25">
      <c r="A2069" s="2" t="s">
        <v>1566</v>
      </c>
      <c r="B2069" s="2" t="s">
        <v>1567</v>
      </c>
      <c r="C2069" s="3">
        <v>9463.18</v>
      </c>
      <c r="D2069" s="3">
        <v>817.62</v>
      </c>
      <c r="E2069" s="3">
        <v>817.62</v>
      </c>
      <c r="F2069" s="3">
        <v>25000</v>
      </c>
      <c r="G2069" s="5">
        <v>50000</v>
      </c>
      <c r="H2069" t="s">
        <v>3439</v>
      </c>
    </row>
    <row r="2070" spans="1:8" ht="15" customHeight="1" x14ac:dyDescent="0.25">
      <c r="A2070" s="2" t="s">
        <v>1568</v>
      </c>
      <c r="B2070" s="2" t="s">
        <v>1569</v>
      </c>
      <c r="C2070" s="3">
        <v>0</v>
      </c>
      <c r="D2070" s="3">
        <v>0</v>
      </c>
      <c r="E2070" s="3">
        <v>0</v>
      </c>
      <c r="F2070" s="3">
        <v>0</v>
      </c>
      <c r="G2070" s="5">
        <v>0</v>
      </c>
    </row>
    <row r="2071" spans="1:8" ht="15" customHeight="1" x14ac:dyDescent="0.25">
      <c r="A2071" s="2" t="s">
        <v>1570</v>
      </c>
      <c r="B2071" s="2" t="s">
        <v>64</v>
      </c>
      <c r="C2071" s="3">
        <v>1726.86</v>
      </c>
      <c r="D2071" s="3">
        <v>1388.46</v>
      </c>
      <c r="E2071" s="3">
        <v>1651.14</v>
      </c>
      <c r="F2071" s="3">
        <v>1200</v>
      </c>
      <c r="G2071" s="5">
        <v>2000</v>
      </c>
    </row>
    <row r="2072" spans="1:8" ht="15" customHeight="1" x14ac:dyDescent="0.25">
      <c r="A2072" s="2" t="s">
        <v>1571</v>
      </c>
      <c r="B2072" s="2" t="s">
        <v>1572</v>
      </c>
      <c r="C2072" s="3">
        <v>14043.81</v>
      </c>
      <c r="D2072" s="3">
        <v>6352.56</v>
      </c>
      <c r="E2072" s="3">
        <v>13415.76</v>
      </c>
      <c r="F2072" s="3">
        <v>16000</v>
      </c>
      <c r="G2072" s="5">
        <v>16000</v>
      </c>
    </row>
    <row r="2073" spans="1:8" ht="15" customHeight="1" x14ac:dyDescent="0.25">
      <c r="A2073" s="2" t="s">
        <v>1573</v>
      </c>
      <c r="B2073" s="2" t="s">
        <v>624</v>
      </c>
      <c r="C2073" s="3">
        <v>811.31</v>
      </c>
      <c r="D2073" s="3">
        <v>857.15</v>
      </c>
      <c r="E2073" s="3">
        <v>1177.83</v>
      </c>
      <c r="F2073" s="3">
        <v>2000</v>
      </c>
      <c r="G2073" s="5">
        <v>2500</v>
      </c>
    </row>
    <row r="2074" spans="1:8" ht="15" customHeight="1" x14ac:dyDescent="0.25">
      <c r="A2074" s="2" t="s">
        <v>1574</v>
      </c>
      <c r="B2074" s="2" t="s">
        <v>1575</v>
      </c>
      <c r="C2074" s="3">
        <v>1817.3</v>
      </c>
      <c r="D2074" s="3">
        <v>20</v>
      </c>
      <c r="E2074" s="3">
        <v>730.71</v>
      </c>
      <c r="F2074" s="3">
        <v>3000</v>
      </c>
      <c r="G2074" s="5">
        <v>3000</v>
      </c>
    </row>
    <row r="2075" spans="1:8" ht="15" customHeight="1" x14ac:dyDescent="0.25">
      <c r="A2075" s="2" t="s">
        <v>1576</v>
      </c>
      <c r="B2075" s="2" t="s">
        <v>1577</v>
      </c>
      <c r="C2075" s="3">
        <v>1208</v>
      </c>
      <c r="D2075" s="3">
        <v>0</v>
      </c>
      <c r="E2075" s="3">
        <v>0</v>
      </c>
      <c r="F2075" s="3">
        <v>1500</v>
      </c>
      <c r="G2075" s="5">
        <v>1500</v>
      </c>
    </row>
    <row r="2076" spans="1:8" ht="15" customHeight="1" x14ac:dyDescent="0.25">
      <c r="A2076" s="1" t="s">
        <v>1578</v>
      </c>
      <c r="B2076" s="1" t="s">
        <v>2</v>
      </c>
      <c r="C2076" s="4">
        <v>898905.86</v>
      </c>
      <c r="D2076" s="4">
        <v>330927.05</v>
      </c>
      <c r="E2076" s="4">
        <f>SUM(E2040:E2075)</f>
        <v>553323.52000000002</v>
      </c>
      <c r="F2076" s="6">
        <f>SUM(F2040:F2075)</f>
        <v>933098.91999999993</v>
      </c>
      <c r="G2076" s="6">
        <f>SUM(G2040:G2075)</f>
        <v>956190.9855999999</v>
      </c>
    </row>
    <row r="2077" spans="1:8" x14ac:dyDescent="0.25">
      <c r="A2077" s="1" t="s">
        <v>2</v>
      </c>
      <c r="B2077" s="1" t="s">
        <v>2</v>
      </c>
      <c r="C2077" s="1" t="s">
        <v>2</v>
      </c>
      <c r="D2077" s="1" t="s">
        <v>2</v>
      </c>
      <c r="E2077" s="1"/>
      <c r="F2077" s="1" t="s">
        <v>2</v>
      </c>
      <c r="G2077" s="1" t="s">
        <v>2</v>
      </c>
    </row>
    <row r="2078" spans="1:8" ht="15" customHeight="1" x14ac:dyDescent="0.25">
      <c r="A2078" s="1" t="s">
        <v>557</v>
      </c>
      <c r="B2078" s="1" t="s">
        <v>2</v>
      </c>
    </row>
    <row r="2079" spans="1:8" ht="15" customHeight="1" x14ac:dyDescent="0.25">
      <c r="A2079" s="2" t="s">
        <v>1579</v>
      </c>
      <c r="B2079" s="2" t="s">
        <v>1580</v>
      </c>
      <c r="C2079" s="3">
        <v>0</v>
      </c>
      <c r="D2079" s="3">
        <v>0</v>
      </c>
      <c r="E2079" s="3">
        <v>0</v>
      </c>
      <c r="F2079" s="3">
        <v>0</v>
      </c>
      <c r="G2079" s="5">
        <v>0</v>
      </c>
    </row>
    <row r="2080" spans="1:8" x14ac:dyDescent="0.25">
      <c r="A2080" s="2" t="s">
        <v>1581</v>
      </c>
      <c r="B2080" s="2" t="s">
        <v>1582</v>
      </c>
      <c r="C2080" s="3">
        <v>24846.03</v>
      </c>
      <c r="D2080" s="3">
        <v>2487.7199999999998</v>
      </c>
      <c r="E2080" s="3">
        <v>2720.62</v>
      </c>
      <c r="F2080" s="3">
        <v>0</v>
      </c>
      <c r="G2080" s="5">
        <v>0</v>
      </c>
    </row>
    <row r="2081" spans="1:7" x14ac:dyDescent="0.25">
      <c r="A2081" s="2" t="s">
        <v>1583</v>
      </c>
      <c r="B2081" s="2" t="s">
        <v>1584</v>
      </c>
      <c r="C2081" s="3">
        <v>0</v>
      </c>
      <c r="D2081" s="3">
        <v>646.92999999999995</v>
      </c>
      <c r="E2081" s="3">
        <v>854.69</v>
      </c>
      <c r="F2081" s="3">
        <v>0</v>
      </c>
      <c r="G2081" s="5">
        <v>2500</v>
      </c>
    </row>
    <row r="2082" spans="1:7" ht="15" customHeight="1" x14ac:dyDescent="0.25">
      <c r="A2082" s="2" t="s">
        <v>1585</v>
      </c>
      <c r="B2082" s="2" t="s">
        <v>850</v>
      </c>
      <c r="C2082" s="3">
        <v>0</v>
      </c>
      <c r="D2082" s="3">
        <v>0</v>
      </c>
      <c r="E2082" s="3">
        <v>0</v>
      </c>
      <c r="F2082" s="3">
        <v>0</v>
      </c>
      <c r="G2082" s="5">
        <v>0</v>
      </c>
    </row>
    <row r="2083" spans="1:7" ht="15" customHeight="1" x14ac:dyDescent="0.25">
      <c r="A2083" s="2" t="s">
        <v>1586</v>
      </c>
      <c r="B2083" s="2" t="s">
        <v>1402</v>
      </c>
      <c r="C2083" s="3">
        <v>0</v>
      </c>
      <c r="D2083" s="3">
        <v>0</v>
      </c>
      <c r="E2083" s="3">
        <v>0</v>
      </c>
      <c r="F2083" s="3">
        <v>0</v>
      </c>
      <c r="G2083" s="5">
        <v>0</v>
      </c>
    </row>
    <row r="2084" spans="1:7" ht="15" customHeight="1" x14ac:dyDescent="0.25">
      <c r="A2084" s="2" t="s">
        <v>1587</v>
      </c>
      <c r="B2084" s="2" t="s">
        <v>1588</v>
      </c>
      <c r="C2084" s="3">
        <v>0</v>
      </c>
      <c r="D2084" s="3">
        <v>0</v>
      </c>
      <c r="E2084" s="3">
        <v>0</v>
      </c>
      <c r="F2084" s="3">
        <v>0</v>
      </c>
      <c r="G2084" s="5">
        <v>0</v>
      </c>
    </row>
    <row r="2085" spans="1:7" ht="15" customHeight="1" x14ac:dyDescent="0.25">
      <c r="A2085" s="2" t="s">
        <v>1589</v>
      </c>
      <c r="B2085" s="2" t="s">
        <v>1590</v>
      </c>
      <c r="C2085" s="3">
        <v>0</v>
      </c>
      <c r="D2085" s="3">
        <v>0</v>
      </c>
      <c r="E2085" s="3">
        <v>0</v>
      </c>
      <c r="F2085" s="3">
        <v>0</v>
      </c>
      <c r="G2085" s="5">
        <v>0</v>
      </c>
    </row>
    <row r="2086" spans="1:7" ht="15" customHeight="1" x14ac:dyDescent="0.25">
      <c r="A2086" s="2" t="s">
        <v>1591</v>
      </c>
      <c r="B2086" s="2" t="s">
        <v>1592</v>
      </c>
      <c r="C2086" s="3">
        <v>0</v>
      </c>
      <c r="D2086" s="3">
        <v>0</v>
      </c>
      <c r="E2086" s="3">
        <v>0</v>
      </c>
      <c r="F2086" s="3">
        <v>0</v>
      </c>
      <c r="G2086" s="5">
        <v>0</v>
      </c>
    </row>
    <row r="2087" spans="1:7" ht="15" customHeight="1" x14ac:dyDescent="0.25">
      <c r="A2087" s="2" t="s">
        <v>1593</v>
      </c>
      <c r="B2087" s="2" t="s">
        <v>1594</v>
      </c>
      <c r="C2087" s="3">
        <v>0</v>
      </c>
      <c r="D2087" s="3">
        <v>0</v>
      </c>
      <c r="E2087" s="3">
        <v>0</v>
      </c>
      <c r="F2087" s="3">
        <v>0</v>
      </c>
      <c r="G2087" s="5">
        <v>0</v>
      </c>
    </row>
    <row r="2088" spans="1:7" x14ac:dyDescent="0.25">
      <c r="A2088" s="2" t="s">
        <v>1595</v>
      </c>
      <c r="B2088" s="2" t="s">
        <v>1596</v>
      </c>
      <c r="C2088" s="3">
        <v>0</v>
      </c>
      <c r="D2088" s="3">
        <v>0</v>
      </c>
      <c r="E2088" s="3">
        <v>0</v>
      </c>
      <c r="F2088" s="3">
        <v>0</v>
      </c>
      <c r="G2088" s="5">
        <v>0</v>
      </c>
    </row>
    <row r="2089" spans="1:7" ht="15" customHeight="1" x14ac:dyDescent="0.25">
      <c r="A2089" s="2" t="s">
        <v>1597</v>
      </c>
      <c r="B2089" s="2" t="s">
        <v>1598</v>
      </c>
      <c r="C2089" s="3">
        <v>0</v>
      </c>
      <c r="D2089" s="3">
        <v>0</v>
      </c>
      <c r="E2089" s="3">
        <v>0</v>
      </c>
      <c r="F2089" s="3">
        <v>0</v>
      </c>
      <c r="G2089" s="5">
        <v>0</v>
      </c>
    </row>
    <row r="2090" spans="1:7" ht="15" customHeight="1" x14ac:dyDescent="0.25">
      <c r="A2090" s="2" t="s">
        <v>1599</v>
      </c>
      <c r="B2090" s="2" t="s">
        <v>1600</v>
      </c>
      <c r="C2090" s="3">
        <v>0</v>
      </c>
      <c r="D2090" s="3">
        <v>0</v>
      </c>
      <c r="E2090" s="3">
        <v>0</v>
      </c>
      <c r="F2090" s="3">
        <v>0</v>
      </c>
      <c r="G2090" s="5">
        <v>0</v>
      </c>
    </row>
    <row r="2091" spans="1:7" ht="15" customHeight="1" x14ac:dyDescent="0.25">
      <c r="A2091" s="2" t="s">
        <v>1601</v>
      </c>
      <c r="B2091" s="2" t="s">
        <v>1602</v>
      </c>
      <c r="C2091" s="3">
        <v>0</v>
      </c>
      <c r="D2091" s="3">
        <v>0</v>
      </c>
      <c r="E2091" s="3">
        <v>0</v>
      </c>
      <c r="F2091" s="3">
        <v>0</v>
      </c>
      <c r="G2091" s="5">
        <v>0</v>
      </c>
    </row>
    <row r="2092" spans="1:7" ht="15" customHeight="1" x14ac:dyDescent="0.25">
      <c r="A2092" s="2" t="s">
        <v>1603</v>
      </c>
      <c r="B2092" s="2" t="s">
        <v>1604</v>
      </c>
      <c r="C2092" s="3">
        <v>0</v>
      </c>
      <c r="D2092" s="3">
        <v>0</v>
      </c>
      <c r="E2092" s="3">
        <v>0</v>
      </c>
      <c r="F2092" s="3">
        <v>0</v>
      </c>
      <c r="G2092" s="5">
        <v>0</v>
      </c>
    </row>
    <row r="2093" spans="1:7" x14ac:dyDescent="0.25">
      <c r="A2093" s="2" t="s">
        <v>1605</v>
      </c>
      <c r="B2093" s="2" t="s">
        <v>1606</v>
      </c>
      <c r="C2093" s="3">
        <v>357251.42</v>
      </c>
      <c r="D2093" s="3">
        <v>0</v>
      </c>
      <c r="E2093" s="3">
        <v>0</v>
      </c>
      <c r="F2093" s="3">
        <v>0</v>
      </c>
      <c r="G2093" s="5">
        <v>0</v>
      </c>
    </row>
    <row r="2094" spans="1:7" ht="15" customHeight="1" x14ac:dyDescent="0.25">
      <c r="A2094" s="2" t="s">
        <v>1607</v>
      </c>
      <c r="B2094" s="2" t="s">
        <v>1608</v>
      </c>
      <c r="C2094" s="3">
        <v>0</v>
      </c>
      <c r="D2094" s="3">
        <v>0</v>
      </c>
      <c r="E2094" s="3">
        <v>0</v>
      </c>
      <c r="F2094" s="3">
        <v>0</v>
      </c>
      <c r="G2094" s="5">
        <v>0</v>
      </c>
    </row>
    <row r="2095" spans="1:7" ht="15" customHeight="1" x14ac:dyDescent="0.25">
      <c r="A2095" s="2" t="s">
        <v>1609</v>
      </c>
      <c r="B2095" s="2" t="s">
        <v>1610</v>
      </c>
      <c r="C2095" s="3">
        <v>0</v>
      </c>
      <c r="D2095" s="3">
        <v>0</v>
      </c>
      <c r="E2095" s="3">
        <v>0</v>
      </c>
      <c r="F2095" s="3">
        <v>0</v>
      </c>
      <c r="G2095" s="5">
        <v>0</v>
      </c>
    </row>
    <row r="2096" spans="1:7" ht="15" customHeight="1" x14ac:dyDescent="0.25">
      <c r="A2096" s="2" t="s">
        <v>1611</v>
      </c>
      <c r="B2096" s="2" t="s">
        <v>1426</v>
      </c>
      <c r="C2096" s="3">
        <v>0</v>
      </c>
      <c r="D2096" s="3">
        <v>0</v>
      </c>
      <c r="E2096" s="3">
        <v>0</v>
      </c>
      <c r="F2096" s="3">
        <v>0</v>
      </c>
      <c r="G2096" s="5">
        <v>0</v>
      </c>
    </row>
    <row r="2097" spans="1:7" ht="15" customHeight="1" x14ac:dyDescent="0.25">
      <c r="A2097" s="2" t="s">
        <v>1612</v>
      </c>
      <c r="B2097" s="2" t="s">
        <v>1434</v>
      </c>
      <c r="C2097" s="3">
        <v>2023.97</v>
      </c>
      <c r="D2097" s="3">
        <v>215.53</v>
      </c>
      <c r="E2097" s="3">
        <v>352.26</v>
      </c>
      <c r="F2097" s="3">
        <v>300000</v>
      </c>
      <c r="G2097" s="5">
        <v>300000</v>
      </c>
    </row>
    <row r="2098" spans="1:7" ht="15" customHeight="1" x14ac:dyDescent="0.25">
      <c r="A2098" s="2" t="s">
        <v>1613</v>
      </c>
      <c r="B2098" s="2" t="s">
        <v>1436</v>
      </c>
      <c r="C2098" s="3">
        <v>1029.28</v>
      </c>
      <c r="D2098" s="3">
        <v>579.46</v>
      </c>
      <c r="E2098" s="3">
        <v>786.41</v>
      </c>
      <c r="F2098" s="3">
        <v>0</v>
      </c>
      <c r="G2098" s="5">
        <v>0</v>
      </c>
    </row>
    <row r="2099" spans="1:7" x14ac:dyDescent="0.25">
      <c r="A2099" s="2" t="s">
        <v>1614</v>
      </c>
      <c r="B2099" s="2" t="s">
        <v>1615</v>
      </c>
      <c r="C2099" s="3">
        <v>0</v>
      </c>
      <c r="D2099" s="3">
        <v>168.8</v>
      </c>
      <c r="E2099" s="3">
        <v>168.8</v>
      </c>
      <c r="F2099" s="3">
        <v>500000</v>
      </c>
      <c r="G2099" s="5">
        <v>500000</v>
      </c>
    </row>
    <row r="2100" spans="1:7" ht="15" customHeight="1" x14ac:dyDescent="0.25">
      <c r="A2100" s="1" t="s">
        <v>560</v>
      </c>
      <c r="B2100" s="1" t="s">
        <v>2</v>
      </c>
      <c r="C2100" s="4">
        <v>385150.7</v>
      </c>
      <c r="D2100" s="4">
        <v>4098.4399999999996</v>
      </c>
      <c r="E2100" s="4">
        <f>SUM(E2079:E2099)</f>
        <v>4882.78</v>
      </c>
      <c r="F2100" s="6">
        <f>SUM(F2079:F2099)</f>
        <v>800000</v>
      </c>
      <c r="G2100" s="6">
        <f>SUM(G2079:G2099)</f>
        <v>802500</v>
      </c>
    </row>
    <row r="2101" spans="1:7" x14ac:dyDescent="0.25">
      <c r="A2101" s="1" t="s">
        <v>2</v>
      </c>
      <c r="B2101" s="1" t="s">
        <v>2</v>
      </c>
      <c r="C2101" s="1" t="s">
        <v>2</v>
      </c>
      <c r="D2101" s="1" t="s">
        <v>2</v>
      </c>
      <c r="E2101" s="1"/>
      <c r="F2101" s="1" t="s">
        <v>2</v>
      </c>
      <c r="G2101" s="1" t="s">
        <v>2</v>
      </c>
    </row>
    <row r="2102" spans="1:7" ht="15" customHeight="1" x14ac:dyDescent="0.25">
      <c r="A2102" s="1" t="s">
        <v>706</v>
      </c>
      <c r="B2102" s="1" t="s">
        <v>2</v>
      </c>
    </row>
    <row r="2103" spans="1:7" x14ac:dyDescent="0.25">
      <c r="A2103" s="2" t="s">
        <v>1616</v>
      </c>
      <c r="B2103" s="2" t="s">
        <v>1617</v>
      </c>
      <c r="C2103" s="3">
        <v>695259.19</v>
      </c>
      <c r="D2103" s="3">
        <v>0</v>
      </c>
      <c r="E2103" s="3">
        <v>120111</v>
      </c>
      <c r="F2103" s="3">
        <v>695902</v>
      </c>
      <c r="G2103" s="59">
        <v>0</v>
      </c>
    </row>
    <row r="2104" spans="1:7" ht="15" customHeight="1" x14ac:dyDescent="0.25">
      <c r="A2104" s="2" t="s">
        <v>1618</v>
      </c>
      <c r="B2104" s="2" t="s">
        <v>1459</v>
      </c>
      <c r="C2104" s="3">
        <v>13909.32</v>
      </c>
      <c r="D2104" s="3">
        <v>0</v>
      </c>
      <c r="E2104" s="3">
        <v>9841.9699999999993</v>
      </c>
      <c r="F2104" s="3">
        <v>10821</v>
      </c>
      <c r="G2104" s="59">
        <v>0</v>
      </c>
    </row>
    <row r="2105" spans="1:7" x14ac:dyDescent="0.25">
      <c r="A2105" s="2" t="s">
        <v>1619</v>
      </c>
      <c r="B2105" s="2" t="s">
        <v>1620</v>
      </c>
      <c r="C2105" s="3">
        <v>0</v>
      </c>
      <c r="D2105" s="3">
        <v>0</v>
      </c>
      <c r="E2105" s="3">
        <v>0</v>
      </c>
      <c r="F2105" s="3">
        <v>0</v>
      </c>
      <c r="G2105" s="59">
        <v>0</v>
      </c>
    </row>
    <row r="2106" spans="1:7" ht="15" customHeight="1" x14ac:dyDescent="0.25">
      <c r="A2106" s="2" t="s">
        <v>1621</v>
      </c>
      <c r="B2106" s="2" t="s">
        <v>1025</v>
      </c>
      <c r="C2106" s="3">
        <v>0</v>
      </c>
      <c r="D2106" s="3">
        <v>0</v>
      </c>
      <c r="E2106" s="3">
        <v>0</v>
      </c>
      <c r="F2106" s="3">
        <v>67500</v>
      </c>
      <c r="G2106" s="59">
        <v>0</v>
      </c>
    </row>
    <row r="2107" spans="1:7" ht="15" customHeight="1" x14ac:dyDescent="0.25">
      <c r="A2107" s="2" t="s">
        <v>1622</v>
      </c>
      <c r="B2107" s="2" t="s">
        <v>1027</v>
      </c>
      <c r="C2107" s="3">
        <v>0</v>
      </c>
      <c r="D2107" s="3">
        <v>0</v>
      </c>
      <c r="E2107" s="3">
        <v>0</v>
      </c>
      <c r="F2107" s="3">
        <v>10000</v>
      </c>
      <c r="G2107" s="59">
        <v>0</v>
      </c>
    </row>
    <row r="2108" spans="1:7" ht="15" customHeight="1" x14ac:dyDescent="0.25">
      <c r="A2108" s="2" t="s">
        <v>1623</v>
      </c>
      <c r="B2108" s="2" t="s">
        <v>1029</v>
      </c>
      <c r="C2108" s="3">
        <v>0</v>
      </c>
      <c r="D2108" s="3">
        <v>0</v>
      </c>
      <c r="E2108" s="3">
        <v>0</v>
      </c>
      <c r="F2108" s="3">
        <v>10000</v>
      </c>
      <c r="G2108" s="59">
        <v>0</v>
      </c>
    </row>
    <row r="2109" spans="1:7" ht="15" customHeight="1" x14ac:dyDescent="0.25">
      <c r="A2109" s="2" t="s">
        <v>1624</v>
      </c>
      <c r="B2109" s="2" t="s">
        <v>1031</v>
      </c>
      <c r="C2109" s="3">
        <v>0</v>
      </c>
      <c r="D2109" s="3">
        <v>0</v>
      </c>
      <c r="E2109" s="3">
        <v>0</v>
      </c>
      <c r="F2109" s="3">
        <v>2500</v>
      </c>
      <c r="G2109" s="59">
        <v>0</v>
      </c>
    </row>
    <row r="2110" spans="1:7" x14ac:dyDescent="0.25">
      <c r="A2110" s="2" t="s">
        <v>1625</v>
      </c>
      <c r="B2110" s="2" t="s">
        <v>1035</v>
      </c>
      <c r="C2110" s="3">
        <v>0</v>
      </c>
      <c r="D2110" s="3">
        <v>0</v>
      </c>
      <c r="E2110" s="3">
        <v>0</v>
      </c>
      <c r="F2110" s="3">
        <v>2500</v>
      </c>
      <c r="G2110" s="59">
        <v>0</v>
      </c>
    </row>
    <row r="2111" spans="1:7" ht="15" customHeight="1" x14ac:dyDescent="0.25">
      <c r="A2111" s="2" t="s">
        <v>1626</v>
      </c>
      <c r="B2111" s="2" t="s">
        <v>1037</v>
      </c>
      <c r="C2111" s="3">
        <v>0</v>
      </c>
      <c r="D2111" s="3">
        <v>0</v>
      </c>
      <c r="E2111" s="3">
        <v>0</v>
      </c>
      <c r="F2111" s="3">
        <v>1750</v>
      </c>
      <c r="G2111" s="59">
        <v>0</v>
      </c>
    </row>
    <row r="2112" spans="1:7" ht="15" customHeight="1" x14ac:dyDescent="0.25">
      <c r="A2112" s="2" t="s">
        <v>1627</v>
      </c>
      <c r="B2112" s="2" t="s">
        <v>1628</v>
      </c>
      <c r="C2112" s="3">
        <v>0</v>
      </c>
      <c r="D2112" s="3">
        <v>0</v>
      </c>
      <c r="E2112" s="3">
        <v>0</v>
      </c>
      <c r="F2112" s="3">
        <v>0</v>
      </c>
      <c r="G2112" s="59">
        <v>0</v>
      </c>
    </row>
    <row r="2113" spans="1:7" ht="15" customHeight="1" x14ac:dyDescent="0.25">
      <c r="A2113" s="2" t="s">
        <v>1629</v>
      </c>
      <c r="B2113" s="2" t="s">
        <v>1007</v>
      </c>
      <c r="C2113" s="3">
        <v>0</v>
      </c>
      <c r="D2113" s="3">
        <v>0</v>
      </c>
      <c r="E2113" s="3">
        <v>0</v>
      </c>
      <c r="F2113" s="3">
        <v>0</v>
      </c>
      <c r="G2113" s="59">
        <v>0</v>
      </c>
    </row>
    <row r="2114" spans="1:7" x14ac:dyDescent="0.25">
      <c r="A2114" s="2" t="s">
        <v>1630</v>
      </c>
      <c r="B2114" s="2" t="s">
        <v>1009</v>
      </c>
      <c r="C2114" s="3">
        <v>23850.65</v>
      </c>
      <c r="D2114" s="3">
        <v>0</v>
      </c>
      <c r="E2114" s="3">
        <v>0</v>
      </c>
      <c r="F2114" s="3">
        <v>0</v>
      </c>
      <c r="G2114" s="59">
        <v>0</v>
      </c>
    </row>
    <row r="2115" spans="1:7" x14ac:dyDescent="0.25">
      <c r="A2115" s="2" t="s">
        <v>1631</v>
      </c>
      <c r="B2115" s="2" t="s">
        <v>1632</v>
      </c>
      <c r="C2115" s="3">
        <v>0</v>
      </c>
      <c r="D2115" s="3">
        <v>0</v>
      </c>
      <c r="E2115" s="3">
        <v>0</v>
      </c>
      <c r="F2115" s="3">
        <v>0</v>
      </c>
      <c r="G2115" s="59">
        <v>0</v>
      </c>
    </row>
    <row r="2116" spans="1:7" ht="15" customHeight="1" x14ac:dyDescent="0.25">
      <c r="A2116" s="2" t="s">
        <v>1633</v>
      </c>
      <c r="B2116" s="2" t="s">
        <v>1013</v>
      </c>
      <c r="C2116" s="3">
        <v>17643.03</v>
      </c>
      <c r="D2116" s="3">
        <v>0</v>
      </c>
      <c r="E2116" s="3">
        <v>0</v>
      </c>
      <c r="F2116" s="3">
        <v>0</v>
      </c>
      <c r="G2116" s="59">
        <v>0</v>
      </c>
    </row>
    <row r="2117" spans="1:7" ht="15" customHeight="1" x14ac:dyDescent="0.25">
      <c r="A2117" s="2" t="s">
        <v>1634</v>
      </c>
      <c r="B2117" s="2" t="s">
        <v>1015</v>
      </c>
      <c r="C2117" s="3">
        <v>8581.1299999999992</v>
      </c>
      <c r="D2117" s="3">
        <v>0</v>
      </c>
      <c r="E2117" s="3">
        <v>0</v>
      </c>
      <c r="F2117" s="3">
        <v>0</v>
      </c>
      <c r="G2117" s="59">
        <v>0</v>
      </c>
    </row>
    <row r="2118" spans="1:7" ht="15" customHeight="1" x14ac:dyDescent="0.25">
      <c r="A2118" s="2" t="s">
        <v>1635</v>
      </c>
      <c r="B2118" s="2" t="s">
        <v>1636</v>
      </c>
      <c r="C2118" s="3">
        <v>58284.73</v>
      </c>
      <c r="D2118" s="3">
        <v>0</v>
      </c>
      <c r="E2118" s="3">
        <v>0</v>
      </c>
      <c r="F2118" s="3">
        <v>0</v>
      </c>
      <c r="G2118" s="59">
        <v>0</v>
      </c>
    </row>
    <row r="2119" spans="1:7" x14ac:dyDescent="0.25">
      <c r="A2119" s="2" t="s">
        <v>1637</v>
      </c>
      <c r="B2119" s="2" t="s">
        <v>1638</v>
      </c>
      <c r="C2119" s="3">
        <v>1000000</v>
      </c>
      <c r="D2119" s="3">
        <v>0</v>
      </c>
      <c r="E2119" s="3">
        <v>0</v>
      </c>
      <c r="F2119" s="3">
        <v>3000000</v>
      </c>
      <c r="G2119" s="59">
        <v>0</v>
      </c>
    </row>
    <row r="2120" spans="1:7" ht="15" customHeight="1" x14ac:dyDescent="0.25">
      <c r="A2120" s="1" t="s">
        <v>737</v>
      </c>
      <c r="B2120" s="1" t="s">
        <v>2</v>
      </c>
      <c r="C2120" s="4">
        <v>1817528.05</v>
      </c>
      <c r="D2120" s="4">
        <v>0</v>
      </c>
      <c r="E2120" s="4">
        <f>SUM(E2103:E2119)</f>
        <v>129952.97</v>
      </c>
      <c r="F2120" s="6">
        <f>SUM(F2103:F2119)</f>
        <v>3800973</v>
      </c>
      <c r="G2120" s="6">
        <f>SUM(G2103:G2119)</f>
        <v>0</v>
      </c>
    </row>
    <row r="2121" spans="1:7" x14ac:dyDescent="0.25">
      <c r="A2121" s="1" t="s">
        <v>2</v>
      </c>
      <c r="B2121" s="1" t="s">
        <v>2</v>
      </c>
      <c r="C2121" s="1" t="s">
        <v>2</v>
      </c>
      <c r="D2121" s="1" t="s">
        <v>2</v>
      </c>
      <c r="E2121" s="1"/>
      <c r="F2121" s="1" t="s">
        <v>2</v>
      </c>
      <c r="G2121" s="1" t="s">
        <v>2</v>
      </c>
    </row>
    <row r="2122" spans="1:7" ht="15" customHeight="1" x14ac:dyDescent="0.25">
      <c r="A2122" s="1" t="s">
        <v>698</v>
      </c>
      <c r="B2122" s="1" t="s">
        <v>2</v>
      </c>
    </row>
    <row r="2123" spans="1:7" ht="15" customHeight="1" x14ac:dyDescent="0.25">
      <c r="A2123" s="2" t="s">
        <v>1639</v>
      </c>
      <c r="B2123" s="2" t="s">
        <v>700</v>
      </c>
      <c r="C2123" s="3">
        <v>0</v>
      </c>
      <c r="D2123" s="3">
        <v>0</v>
      </c>
      <c r="E2123" s="3">
        <v>0</v>
      </c>
      <c r="F2123" s="3">
        <v>0</v>
      </c>
      <c r="G2123" s="5">
        <v>0</v>
      </c>
    </row>
    <row r="2124" spans="1:7" ht="15" customHeight="1" x14ac:dyDescent="0.25">
      <c r="A2124" s="2" t="s">
        <v>1640</v>
      </c>
      <c r="B2124" s="2" t="s">
        <v>704</v>
      </c>
      <c r="C2124" s="3">
        <v>15433.06</v>
      </c>
      <c r="D2124" s="3">
        <v>0</v>
      </c>
      <c r="E2124" s="3">
        <v>0</v>
      </c>
      <c r="F2124" s="3">
        <v>0</v>
      </c>
      <c r="G2124" s="5">
        <v>0</v>
      </c>
    </row>
    <row r="2125" spans="1:7" ht="15" customHeight="1" x14ac:dyDescent="0.25">
      <c r="A2125" s="2" t="s">
        <v>1641</v>
      </c>
      <c r="B2125" s="2" t="s">
        <v>1642</v>
      </c>
      <c r="C2125" s="3">
        <v>0</v>
      </c>
      <c r="D2125" s="3">
        <v>0</v>
      </c>
      <c r="E2125" s="3">
        <v>0</v>
      </c>
      <c r="F2125" s="3">
        <v>0</v>
      </c>
      <c r="G2125" s="5">
        <v>0</v>
      </c>
    </row>
    <row r="2126" spans="1:7" ht="15" customHeight="1" x14ac:dyDescent="0.25">
      <c r="A2126" s="1" t="s">
        <v>705</v>
      </c>
      <c r="B2126" s="1" t="s">
        <v>2</v>
      </c>
      <c r="C2126" s="4">
        <v>15433.06</v>
      </c>
      <c r="D2126" s="4">
        <v>0</v>
      </c>
      <c r="E2126" s="4">
        <f>SUM(E2123:E2125)</f>
        <v>0</v>
      </c>
      <c r="F2126" s="6">
        <f>SUM(F2123:F2125)</f>
        <v>0</v>
      </c>
      <c r="G2126" s="6">
        <f>SUM(G2123:G2125)</f>
        <v>0</v>
      </c>
    </row>
    <row r="2127" spans="1:7" x14ac:dyDescent="0.25">
      <c r="A2127" s="1" t="s">
        <v>2</v>
      </c>
      <c r="B2127" s="1" t="s">
        <v>2</v>
      </c>
      <c r="C2127" s="1" t="s">
        <v>2</v>
      </c>
      <c r="D2127" s="1" t="s">
        <v>2</v>
      </c>
      <c r="E2127" s="1"/>
      <c r="F2127" s="1" t="s">
        <v>2</v>
      </c>
      <c r="G2127" s="1" t="s">
        <v>2</v>
      </c>
    </row>
    <row r="2128" spans="1:7" x14ac:dyDescent="0.25">
      <c r="A2128" s="1" t="s">
        <v>1643</v>
      </c>
      <c r="B2128" s="1" t="s">
        <v>2</v>
      </c>
      <c r="C2128" s="4">
        <v>5135935.75</v>
      </c>
      <c r="D2128" s="4">
        <v>1073714.3899999999</v>
      </c>
      <c r="E2128" s="4">
        <f>E2007+E2031+E2037+E2076+E2100+E2120+E2126</f>
        <v>1977236.92</v>
      </c>
      <c r="F2128" s="6">
        <f>F2126+F2120+F2100+F2076+F2037+F2031+F2007</f>
        <v>7056704.2899999991</v>
      </c>
      <c r="G2128" s="6">
        <f>G2126+G2120+G2100+G2076+G2037+G2031+G2007</f>
        <v>2829619.4957499998</v>
      </c>
    </row>
    <row r="2129" spans="1:8" ht="15" customHeight="1" x14ac:dyDescent="0.25">
      <c r="A2129" s="25" t="s">
        <v>3015</v>
      </c>
      <c r="B2129" s="25" t="s">
        <v>2</v>
      </c>
      <c r="C2129" s="33">
        <f>C1920+C1979-C2128</f>
        <v>9003322.3399999999</v>
      </c>
      <c r="D2129" s="33">
        <f t="shared" ref="D2129:G2129" si="56">D1920+D1979-D2128</f>
        <v>11305868.699999999</v>
      </c>
      <c r="E2129" s="33">
        <f t="shared" si="56"/>
        <v>12836931.48</v>
      </c>
      <c r="F2129" s="33">
        <f t="shared" si="56"/>
        <v>8013870.0500000007</v>
      </c>
      <c r="G2129" s="33">
        <f t="shared" si="56"/>
        <v>11251502.554250002</v>
      </c>
      <c r="H2129" s="25"/>
    </row>
    <row r="2130" spans="1:8" x14ac:dyDescent="0.25">
      <c r="A2130" s="1" t="s">
        <v>2</v>
      </c>
      <c r="B2130" s="1" t="s">
        <v>2</v>
      </c>
      <c r="C2130" s="1" t="s">
        <v>2</v>
      </c>
      <c r="D2130" s="1" t="s">
        <v>2</v>
      </c>
      <c r="E2130" s="1"/>
      <c r="F2130" s="1" t="s">
        <v>2</v>
      </c>
      <c r="G2130" s="1" t="s">
        <v>2</v>
      </c>
    </row>
    <row r="2131" spans="1:8" ht="15" customHeight="1" x14ac:dyDescent="0.25">
      <c r="A2131" s="27" t="s">
        <v>3016</v>
      </c>
      <c r="B2131" s="27"/>
      <c r="C2131" s="28">
        <v>3843.98</v>
      </c>
      <c r="D2131" s="28">
        <v>3964.49</v>
      </c>
      <c r="E2131" s="28">
        <v>3964.49</v>
      </c>
      <c r="F2131" s="28">
        <v>3964.49</v>
      </c>
      <c r="G2131" s="28">
        <f>F2181</f>
        <v>3164.4899999999907</v>
      </c>
      <c r="H2131" s="27"/>
    </row>
    <row r="2132" spans="1:8" ht="24" x14ac:dyDescent="0.25">
      <c r="A2132" s="23" t="s">
        <v>1644</v>
      </c>
      <c r="B2132" s="23" t="s">
        <v>2</v>
      </c>
      <c r="C2132" s="29"/>
      <c r="D2132" s="29"/>
      <c r="E2132" s="29"/>
      <c r="F2132" s="29"/>
      <c r="G2132" s="29"/>
      <c r="H2132" s="29"/>
    </row>
    <row r="2133" spans="1:8" x14ac:dyDescent="0.25">
      <c r="A2133" s="23" t="s">
        <v>2026</v>
      </c>
      <c r="B2133" s="23" t="s">
        <v>2</v>
      </c>
      <c r="C2133" s="29"/>
      <c r="D2133" s="29"/>
      <c r="E2133" s="29"/>
      <c r="F2133" s="29"/>
      <c r="G2133" s="29"/>
      <c r="H2133" s="29"/>
    </row>
    <row r="2134" spans="1:8" x14ac:dyDescent="0.25">
      <c r="A2134" s="23" t="s">
        <v>2175</v>
      </c>
      <c r="B2134" s="23" t="s">
        <v>2</v>
      </c>
      <c r="C2134" s="29"/>
      <c r="D2134" s="29"/>
      <c r="E2134" s="29"/>
      <c r="F2134" s="29"/>
      <c r="G2134" s="29"/>
      <c r="H2134" s="29"/>
    </row>
    <row r="2135" spans="1:8" x14ac:dyDescent="0.25">
      <c r="A2135" s="23" t="s">
        <v>2176</v>
      </c>
      <c r="B2135" s="23" t="s">
        <v>2</v>
      </c>
      <c r="C2135" s="29"/>
      <c r="D2135" s="29"/>
      <c r="E2135" s="29"/>
      <c r="F2135" s="29"/>
      <c r="G2135" s="29"/>
      <c r="H2135" s="29"/>
    </row>
    <row r="2136" spans="1:8" x14ac:dyDescent="0.25">
      <c r="A2136" s="30" t="s">
        <v>3017</v>
      </c>
      <c r="B2136" s="30" t="s">
        <v>2409</v>
      </c>
      <c r="C2136" s="31">
        <v>4.01</v>
      </c>
      <c r="D2136" s="31">
        <v>2.8</v>
      </c>
      <c r="E2136" s="31">
        <v>8.25</v>
      </c>
      <c r="F2136" s="31">
        <v>0</v>
      </c>
      <c r="G2136" s="31">
        <v>0</v>
      </c>
      <c r="H2136" s="29"/>
    </row>
    <row r="2137" spans="1:8" ht="24" x14ac:dyDescent="0.25">
      <c r="A2137" s="23" t="s">
        <v>2179</v>
      </c>
      <c r="B2137" s="23" t="s">
        <v>2</v>
      </c>
      <c r="C2137" s="32">
        <v>4.01</v>
      </c>
      <c r="D2137" s="32">
        <v>2.8</v>
      </c>
      <c r="E2137" s="32">
        <f>E2136</f>
        <v>8.25</v>
      </c>
      <c r="F2137" s="32">
        <f>SUM(F2136)</f>
        <v>0</v>
      </c>
      <c r="G2137" s="32">
        <f>SUM(G2136)</f>
        <v>0</v>
      </c>
      <c r="H2137" s="29"/>
    </row>
    <row r="2138" spans="1:8" x14ac:dyDescent="0.25">
      <c r="A2138" s="23" t="s">
        <v>2</v>
      </c>
      <c r="B2138" s="23" t="s">
        <v>2</v>
      </c>
      <c r="C2138" s="23" t="s">
        <v>2</v>
      </c>
      <c r="D2138" s="23" t="s">
        <v>2</v>
      </c>
      <c r="E2138" s="23"/>
      <c r="F2138" s="23" t="s">
        <v>2</v>
      </c>
      <c r="G2138" s="23" t="s">
        <v>2</v>
      </c>
      <c r="H2138" s="29"/>
    </row>
    <row r="2139" spans="1:8" x14ac:dyDescent="0.25">
      <c r="A2139" s="23" t="s">
        <v>2553</v>
      </c>
      <c r="B2139" s="23" t="s">
        <v>2</v>
      </c>
      <c r="C2139" s="29"/>
      <c r="D2139" s="29"/>
      <c r="E2139" s="29"/>
      <c r="F2139" s="29"/>
      <c r="G2139" s="29"/>
      <c r="H2139" s="29"/>
    </row>
    <row r="2140" spans="1:8" x14ac:dyDescent="0.25">
      <c r="A2140" s="30" t="s">
        <v>3018</v>
      </c>
      <c r="B2140" s="30" t="s">
        <v>3019</v>
      </c>
      <c r="C2140" s="31">
        <v>0</v>
      </c>
      <c r="D2140" s="31">
        <v>0</v>
      </c>
      <c r="E2140" s="31">
        <v>0</v>
      </c>
      <c r="F2140" s="31">
        <v>0</v>
      </c>
      <c r="G2140" s="58">
        <v>0</v>
      </c>
      <c r="H2140" s="29"/>
    </row>
    <row r="2141" spans="1:8" x14ac:dyDescent="0.25">
      <c r="A2141" s="30" t="s">
        <v>3020</v>
      </c>
      <c r="B2141" s="30" t="s">
        <v>3021</v>
      </c>
      <c r="C2141" s="31">
        <v>0</v>
      </c>
      <c r="D2141" s="31">
        <v>0</v>
      </c>
      <c r="E2141" s="31">
        <v>0</v>
      </c>
      <c r="F2141" s="31">
        <v>0</v>
      </c>
      <c r="G2141" s="58">
        <v>0</v>
      </c>
      <c r="H2141" s="29"/>
    </row>
    <row r="2142" spans="1:8" x14ac:dyDescent="0.25">
      <c r="A2142" s="30" t="s">
        <v>3022</v>
      </c>
      <c r="B2142" s="30" t="s">
        <v>3023</v>
      </c>
      <c r="C2142" s="31">
        <v>695259.19</v>
      </c>
      <c r="D2142" s="31">
        <v>0</v>
      </c>
      <c r="E2142" s="31">
        <v>120111</v>
      </c>
      <c r="F2142" s="31">
        <v>695902</v>
      </c>
      <c r="G2142" s="58">
        <v>0</v>
      </c>
      <c r="H2142" s="29"/>
    </row>
    <row r="2143" spans="1:8" x14ac:dyDescent="0.25">
      <c r="A2143" s="30" t="s">
        <v>3024</v>
      </c>
      <c r="B2143" s="30" t="s">
        <v>3025</v>
      </c>
      <c r="C2143" s="31">
        <v>833632.54</v>
      </c>
      <c r="D2143" s="31">
        <v>0</v>
      </c>
      <c r="E2143" s="31">
        <v>270822</v>
      </c>
      <c r="F2143" s="31">
        <v>833578</v>
      </c>
      <c r="G2143" s="58">
        <v>0</v>
      </c>
      <c r="H2143" s="29"/>
    </row>
    <row r="2144" spans="1:8" x14ac:dyDescent="0.25">
      <c r="A2144" s="30" t="s">
        <v>3026</v>
      </c>
      <c r="B2144" s="30" t="s">
        <v>3027</v>
      </c>
      <c r="C2144" s="31">
        <v>39979</v>
      </c>
      <c r="D2144" s="31">
        <v>0</v>
      </c>
      <c r="E2144" s="31">
        <v>7056.25</v>
      </c>
      <c r="F2144" s="31">
        <v>39113</v>
      </c>
      <c r="G2144" s="58">
        <v>0</v>
      </c>
      <c r="H2144" s="29"/>
    </row>
    <row r="2145" spans="1:8" ht="24" x14ac:dyDescent="0.25">
      <c r="A2145" s="23" t="s">
        <v>2556</v>
      </c>
      <c r="B2145" s="23" t="s">
        <v>2</v>
      </c>
      <c r="C2145" s="32">
        <v>1568870.73</v>
      </c>
      <c r="D2145" s="32">
        <v>0</v>
      </c>
      <c r="E2145" s="32">
        <f>SUM(E2140:E2144)</f>
        <v>397989.25</v>
      </c>
      <c r="F2145" s="32">
        <f>SUM(F2140:F2144)</f>
        <v>1568593</v>
      </c>
      <c r="G2145" s="32">
        <f>SUM(G2140:G2144)</f>
        <v>0</v>
      </c>
      <c r="H2145" s="29"/>
    </row>
    <row r="2146" spans="1:8" x14ac:dyDescent="0.25">
      <c r="A2146" s="23" t="s">
        <v>2</v>
      </c>
      <c r="B2146" s="23" t="s">
        <v>2</v>
      </c>
      <c r="C2146" s="23" t="s">
        <v>2</v>
      </c>
      <c r="D2146" s="23" t="s">
        <v>2</v>
      </c>
      <c r="E2146" s="23"/>
      <c r="F2146" s="23" t="s">
        <v>2</v>
      </c>
      <c r="G2146" s="23" t="s">
        <v>2</v>
      </c>
      <c r="H2146" s="29"/>
    </row>
    <row r="2147" spans="1:8" x14ac:dyDescent="0.25">
      <c r="A2147" s="23" t="s">
        <v>2047</v>
      </c>
      <c r="B2147" s="23" t="s">
        <v>2</v>
      </c>
      <c r="C2147" s="32">
        <v>1568874.74</v>
      </c>
      <c r="D2147" s="32">
        <v>2.8</v>
      </c>
      <c r="E2147" s="32">
        <f>E2137+E2145</f>
        <v>397997.5</v>
      </c>
      <c r="F2147" s="32">
        <f>F2145+F2137</f>
        <v>1568593</v>
      </c>
      <c r="G2147" s="32">
        <f>G2145+G2137</f>
        <v>0</v>
      </c>
      <c r="H2147" s="29"/>
    </row>
    <row r="2148" spans="1:8" ht="15" customHeight="1" x14ac:dyDescent="0.25">
      <c r="A2148" s="1" t="s">
        <v>740</v>
      </c>
      <c r="B2148" s="1" t="s">
        <v>2</v>
      </c>
      <c r="C2148" s="40"/>
      <c r="F2148" s="40"/>
    </row>
    <row r="2149" spans="1:8" ht="15" customHeight="1" x14ac:dyDescent="0.25">
      <c r="A2149" s="1" t="s">
        <v>556</v>
      </c>
      <c r="B2149" s="1" t="s">
        <v>2</v>
      </c>
    </row>
    <row r="2150" spans="1:8" ht="15" customHeight="1" x14ac:dyDescent="0.25">
      <c r="A2150" s="1" t="s">
        <v>1645</v>
      </c>
      <c r="B2150" s="1" t="s">
        <v>2</v>
      </c>
    </row>
    <row r="2151" spans="1:8" x14ac:dyDescent="0.25">
      <c r="A2151" s="2" t="s">
        <v>1646</v>
      </c>
      <c r="B2151" s="2" t="s">
        <v>1647</v>
      </c>
      <c r="C2151" s="3">
        <v>25000</v>
      </c>
      <c r="D2151" s="3">
        <v>0</v>
      </c>
      <c r="E2151" s="3">
        <v>0</v>
      </c>
      <c r="F2151" s="3">
        <v>25000</v>
      </c>
      <c r="G2151" s="59">
        <v>26100</v>
      </c>
    </row>
    <row r="2152" spans="1:8" x14ac:dyDescent="0.25">
      <c r="A2152" s="2" t="s">
        <v>1648</v>
      </c>
      <c r="B2152" s="2" t="s">
        <v>1649</v>
      </c>
      <c r="C2152" s="3">
        <v>250000</v>
      </c>
      <c r="D2152" s="3">
        <v>0</v>
      </c>
      <c r="E2152" s="3">
        <v>0</v>
      </c>
      <c r="F2152" s="3">
        <v>0</v>
      </c>
      <c r="G2152" s="59">
        <v>0</v>
      </c>
    </row>
    <row r="2153" spans="1:8" x14ac:dyDescent="0.25">
      <c r="A2153" s="2" t="s">
        <v>1650</v>
      </c>
      <c r="B2153" s="2" t="s">
        <v>1651</v>
      </c>
      <c r="C2153" s="3">
        <v>18480</v>
      </c>
      <c r="D2153" s="3">
        <v>0</v>
      </c>
      <c r="E2153" s="3">
        <v>0</v>
      </c>
      <c r="F2153" s="3">
        <v>292320</v>
      </c>
      <c r="G2153" s="59">
        <v>296520</v>
      </c>
    </row>
    <row r="2154" spans="1:8" x14ac:dyDescent="0.25">
      <c r="A2154" s="2" t="s">
        <v>1652</v>
      </c>
      <c r="B2154" s="2" t="s">
        <v>1653</v>
      </c>
      <c r="C2154" s="3">
        <v>324000</v>
      </c>
      <c r="D2154" s="3">
        <v>0</v>
      </c>
      <c r="E2154" s="3">
        <v>165000</v>
      </c>
      <c r="F2154" s="3">
        <v>332000</v>
      </c>
      <c r="G2154" s="59">
        <v>340000</v>
      </c>
    </row>
    <row r="2155" spans="1:8" x14ac:dyDescent="0.25">
      <c r="A2155" s="2" t="s">
        <v>1654</v>
      </c>
      <c r="B2155" s="2" t="s">
        <v>1655</v>
      </c>
      <c r="C2155" s="3">
        <v>45000</v>
      </c>
      <c r="D2155" s="3">
        <v>0</v>
      </c>
      <c r="E2155" s="3">
        <v>0</v>
      </c>
      <c r="F2155" s="3">
        <v>0</v>
      </c>
      <c r="G2155" s="59">
        <v>0</v>
      </c>
    </row>
    <row r="2156" spans="1:8" x14ac:dyDescent="0.25">
      <c r="A2156" s="2" t="s">
        <v>1656</v>
      </c>
      <c r="B2156" s="2" t="s">
        <v>1657</v>
      </c>
      <c r="C2156" s="3">
        <v>390000</v>
      </c>
      <c r="D2156" s="3">
        <v>0</v>
      </c>
      <c r="E2156" s="3">
        <v>0</v>
      </c>
      <c r="F2156" s="3">
        <v>400000</v>
      </c>
      <c r="G2156" s="59">
        <v>408900</v>
      </c>
    </row>
    <row r="2157" spans="1:8" x14ac:dyDescent="0.25">
      <c r="A2157" s="2" t="s">
        <v>1658</v>
      </c>
      <c r="B2157" s="2" t="s">
        <v>1659</v>
      </c>
      <c r="C2157" s="3">
        <v>3520</v>
      </c>
      <c r="D2157" s="3">
        <v>0</v>
      </c>
      <c r="E2157" s="3">
        <v>0</v>
      </c>
      <c r="F2157" s="3">
        <v>55680</v>
      </c>
      <c r="G2157" s="5">
        <v>56480</v>
      </c>
    </row>
    <row r="2158" spans="1:8" ht="15" customHeight="1" x14ac:dyDescent="0.25">
      <c r="A2158" s="1" t="s">
        <v>1660</v>
      </c>
      <c r="B2158" s="1" t="s">
        <v>2</v>
      </c>
      <c r="C2158" s="4">
        <v>1056000</v>
      </c>
      <c r="D2158" s="4">
        <v>0</v>
      </c>
      <c r="E2158" s="4">
        <f>SUM(E2151:E2157)</f>
        <v>165000</v>
      </c>
      <c r="F2158" s="6">
        <f>SUM(F2151:F2157)</f>
        <v>1105000</v>
      </c>
      <c r="G2158" s="6">
        <f>SUM(G2151:G2157)</f>
        <v>1128000</v>
      </c>
    </row>
    <row r="2159" spans="1:8" x14ac:dyDescent="0.25">
      <c r="A2159" s="1" t="s">
        <v>2</v>
      </c>
      <c r="B2159" s="1" t="s">
        <v>2</v>
      </c>
      <c r="C2159" s="1" t="s">
        <v>2</v>
      </c>
      <c r="D2159" s="1" t="s">
        <v>2</v>
      </c>
      <c r="E2159" s="1"/>
      <c r="F2159" s="1" t="s">
        <v>2</v>
      </c>
      <c r="G2159" s="1" t="s">
        <v>2</v>
      </c>
    </row>
    <row r="2160" spans="1:8" ht="15" customHeight="1" x14ac:dyDescent="0.25">
      <c r="A2160" s="1" t="s">
        <v>1153</v>
      </c>
      <c r="B2160" s="1" t="s">
        <v>2</v>
      </c>
    </row>
    <row r="2161" spans="1:7" x14ac:dyDescent="0.25">
      <c r="A2161" s="2" t="s">
        <v>1661</v>
      </c>
      <c r="B2161" s="2" t="s">
        <v>1662</v>
      </c>
      <c r="C2161" s="3">
        <v>14862.5</v>
      </c>
      <c r="D2161" s="3">
        <v>7056.25</v>
      </c>
      <c r="E2161" s="3">
        <v>7056.25</v>
      </c>
      <c r="F2161" s="3">
        <v>14113</v>
      </c>
      <c r="G2161" s="59">
        <v>13566.75</v>
      </c>
    </row>
    <row r="2162" spans="1:7" x14ac:dyDescent="0.25">
      <c r="A2162" s="2" t="s">
        <v>1663</v>
      </c>
      <c r="B2162" s="2" t="s">
        <v>1664</v>
      </c>
      <c r="C2162" s="3">
        <v>9912</v>
      </c>
      <c r="D2162" s="3">
        <v>0</v>
      </c>
      <c r="E2162" s="3">
        <v>0</v>
      </c>
      <c r="F2162" s="3">
        <v>0</v>
      </c>
      <c r="G2162" s="59">
        <v>0</v>
      </c>
    </row>
    <row r="2163" spans="1:7" x14ac:dyDescent="0.25">
      <c r="A2163" s="2" t="s">
        <v>1665</v>
      </c>
      <c r="B2163" s="2" t="s">
        <v>1666</v>
      </c>
      <c r="C2163" s="3">
        <v>94760.4</v>
      </c>
      <c r="D2163" s="3">
        <v>40614</v>
      </c>
      <c r="E2163" s="3">
        <v>40614</v>
      </c>
      <c r="F2163" s="3">
        <v>81228</v>
      </c>
      <c r="G2163" s="59">
        <v>97574.399999999994</v>
      </c>
    </row>
    <row r="2164" spans="1:7" x14ac:dyDescent="0.25">
      <c r="A2164" s="2" t="s">
        <v>1667</v>
      </c>
      <c r="B2164" s="2" t="s">
        <v>1668</v>
      </c>
      <c r="C2164" s="3">
        <v>136114.79999999999</v>
      </c>
      <c r="D2164" s="3">
        <v>0</v>
      </c>
      <c r="E2164" s="3">
        <v>65038</v>
      </c>
      <c r="F2164" s="3">
        <v>128030</v>
      </c>
      <c r="G2164" s="59">
        <v>119746.8</v>
      </c>
    </row>
    <row r="2165" spans="1:7" x14ac:dyDescent="0.25">
      <c r="A2165" s="2" t="s">
        <v>1669</v>
      </c>
      <c r="B2165" s="2" t="s">
        <v>1670</v>
      </c>
      <c r="C2165" s="3">
        <v>0</v>
      </c>
      <c r="D2165" s="3">
        <v>0</v>
      </c>
      <c r="E2165" s="3">
        <v>0</v>
      </c>
      <c r="F2165" s="3">
        <v>0</v>
      </c>
      <c r="G2165" s="59">
        <v>0</v>
      </c>
    </row>
    <row r="2166" spans="1:7" x14ac:dyDescent="0.25">
      <c r="A2166" s="2" t="s">
        <v>1671</v>
      </c>
      <c r="B2166" s="2" t="s">
        <v>1672</v>
      </c>
      <c r="C2166" s="3">
        <v>1888</v>
      </c>
      <c r="D2166" s="3">
        <v>0</v>
      </c>
      <c r="E2166" s="3">
        <v>0</v>
      </c>
      <c r="F2166" s="3">
        <v>0</v>
      </c>
      <c r="G2166" s="59">
        <v>0</v>
      </c>
    </row>
    <row r="2167" spans="1:7" ht="15" customHeight="1" x14ac:dyDescent="0.25">
      <c r="A2167" s="2" t="s">
        <v>1673</v>
      </c>
      <c r="B2167" s="2" t="s">
        <v>1181</v>
      </c>
      <c r="C2167" s="3">
        <v>716.93</v>
      </c>
      <c r="D2167" s="3">
        <v>170</v>
      </c>
      <c r="E2167" s="3">
        <v>170</v>
      </c>
      <c r="F2167" s="3">
        <v>800</v>
      </c>
      <c r="G2167" s="59">
        <v>0</v>
      </c>
    </row>
    <row r="2168" spans="1:7" x14ac:dyDescent="0.25">
      <c r="A2168" s="2" t="s">
        <v>1674</v>
      </c>
      <c r="B2168" s="2" t="s">
        <v>1675</v>
      </c>
      <c r="C2168" s="3">
        <v>236450</v>
      </c>
      <c r="D2168" s="3">
        <v>112375</v>
      </c>
      <c r="E2168" s="3">
        <v>112375</v>
      </c>
      <c r="F2168" s="3">
        <v>224750</v>
      </c>
      <c r="G2168" s="59">
        <v>212545.75</v>
      </c>
    </row>
    <row r="2169" spans="1:7" x14ac:dyDescent="0.25">
      <c r="A2169" s="2" t="s">
        <v>1676</v>
      </c>
      <c r="B2169" s="2" t="s">
        <v>1677</v>
      </c>
      <c r="C2169" s="3">
        <v>18049.599999999999</v>
      </c>
      <c r="D2169" s="3">
        <v>7736</v>
      </c>
      <c r="E2169" s="3">
        <v>7736</v>
      </c>
      <c r="F2169" s="3">
        <v>15472</v>
      </c>
      <c r="G2169" s="59">
        <v>18585.599999999999</v>
      </c>
    </row>
    <row r="2170" spans="1:7" x14ac:dyDescent="0.25">
      <c r="A2170" s="2" t="s">
        <v>1678</v>
      </c>
      <c r="B2170" s="2" t="s">
        <v>1679</v>
      </c>
      <c r="C2170" s="3">
        <v>0</v>
      </c>
      <c r="D2170" s="3">
        <v>0</v>
      </c>
      <c r="E2170" s="3">
        <v>0</v>
      </c>
      <c r="F2170" s="3">
        <v>0</v>
      </c>
      <c r="G2170" s="59">
        <v>0</v>
      </c>
    </row>
    <row r="2171" spans="1:7" ht="15" customHeight="1" x14ac:dyDescent="0.25">
      <c r="A2171" s="2" t="s">
        <v>1680</v>
      </c>
      <c r="B2171" s="2" t="s">
        <v>1681</v>
      </c>
      <c r="C2171" s="3">
        <v>0</v>
      </c>
      <c r="D2171" s="3">
        <v>0</v>
      </c>
      <c r="E2171" s="3">
        <v>0</v>
      </c>
      <c r="F2171" s="3">
        <v>0</v>
      </c>
      <c r="G2171" s="59">
        <v>0</v>
      </c>
    </row>
    <row r="2172" spans="1:7" ht="15" customHeight="1" x14ac:dyDescent="0.25">
      <c r="A2172" s="1" t="s">
        <v>1158</v>
      </c>
      <c r="B2172" s="1" t="s">
        <v>2</v>
      </c>
      <c r="C2172" s="4">
        <v>512754.23</v>
      </c>
      <c r="D2172" s="4">
        <v>167951.25</v>
      </c>
      <c r="E2172" s="4">
        <f>SUM(E2161:E2171)</f>
        <v>232989.25</v>
      </c>
      <c r="F2172" s="6">
        <f>SUM(F2161:F2171)</f>
        <v>464393</v>
      </c>
      <c r="G2172" s="6">
        <f>SUM(G2161:G2171)</f>
        <v>462019.3</v>
      </c>
    </row>
    <row r="2173" spans="1:7" x14ac:dyDescent="0.25">
      <c r="A2173" s="1" t="s">
        <v>2</v>
      </c>
      <c r="B2173" s="1" t="s">
        <v>2</v>
      </c>
      <c r="C2173" s="1" t="s">
        <v>2</v>
      </c>
      <c r="D2173" s="1" t="s">
        <v>2</v>
      </c>
      <c r="E2173" s="1"/>
      <c r="F2173" s="1" t="s">
        <v>2</v>
      </c>
      <c r="G2173" s="1" t="s">
        <v>2</v>
      </c>
    </row>
    <row r="2174" spans="1:7" ht="15" customHeight="1" x14ac:dyDescent="0.25">
      <c r="A2174" s="2" t="s">
        <v>1682</v>
      </c>
      <c r="B2174" s="2" t="s">
        <v>1683</v>
      </c>
      <c r="C2174" s="3">
        <v>0</v>
      </c>
      <c r="D2174" s="3">
        <v>0</v>
      </c>
      <c r="E2174" s="3">
        <v>0</v>
      </c>
      <c r="F2174" s="3">
        <v>0</v>
      </c>
      <c r="G2174" s="59">
        <v>0</v>
      </c>
    </row>
    <row r="2175" spans="1:7" ht="15" customHeight="1" x14ac:dyDescent="0.25">
      <c r="A2175" s="2" t="s">
        <v>1684</v>
      </c>
      <c r="B2175" s="2" t="s">
        <v>1683</v>
      </c>
      <c r="C2175" s="3">
        <v>0</v>
      </c>
      <c r="D2175" s="3">
        <v>0</v>
      </c>
      <c r="E2175" s="3">
        <v>0</v>
      </c>
      <c r="F2175" s="3">
        <v>0</v>
      </c>
      <c r="G2175" s="59">
        <v>0</v>
      </c>
    </row>
    <row r="2176" spans="1:7" ht="15" customHeight="1" x14ac:dyDescent="0.25">
      <c r="A2176" s="2" t="s">
        <v>1685</v>
      </c>
      <c r="B2176" s="2" t="s">
        <v>1686</v>
      </c>
      <c r="C2176" s="3">
        <v>0</v>
      </c>
      <c r="D2176" s="3">
        <v>0</v>
      </c>
      <c r="E2176" s="3">
        <v>0</v>
      </c>
      <c r="F2176" s="3">
        <v>0</v>
      </c>
      <c r="G2176" s="59">
        <v>0</v>
      </c>
    </row>
    <row r="2177" spans="1:8" ht="15" customHeight="1" x14ac:dyDescent="0.25">
      <c r="A2177" s="2" t="s">
        <v>1687</v>
      </c>
      <c r="B2177" s="2" t="s">
        <v>1686</v>
      </c>
      <c r="C2177" s="3">
        <v>0</v>
      </c>
      <c r="D2177" s="3">
        <v>0</v>
      </c>
      <c r="E2177" s="3">
        <v>0</v>
      </c>
      <c r="F2177" s="3">
        <v>0</v>
      </c>
      <c r="G2177" s="59">
        <v>0</v>
      </c>
    </row>
    <row r="2178" spans="1:8" ht="15" customHeight="1" x14ac:dyDescent="0.25">
      <c r="A2178" s="2" t="s">
        <v>1688</v>
      </c>
      <c r="B2178" s="2" t="s">
        <v>1689</v>
      </c>
      <c r="C2178" s="3">
        <v>0</v>
      </c>
      <c r="D2178" s="3">
        <v>0</v>
      </c>
      <c r="E2178" s="3">
        <v>0</v>
      </c>
      <c r="F2178" s="3">
        <v>0</v>
      </c>
      <c r="G2178" s="59">
        <v>0</v>
      </c>
    </row>
    <row r="2179" spans="1:8" x14ac:dyDescent="0.25">
      <c r="A2179" s="1" t="s">
        <v>2</v>
      </c>
      <c r="B2179" s="1" t="s">
        <v>2</v>
      </c>
      <c r="C2179" s="1" t="s">
        <v>2</v>
      </c>
      <c r="D2179" s="1" t="s">
        <v>2</v>
      </c>
      <c r="E2179" s="1"/>
      <c r="F2179" s="1" t="s">
        <v>2</v>
      </c>
      <c r="G2179" s="1" t="s">
        <v>2</v>
      </c>
    </row>
    <row r="2180" spans="1:8" ht="15" customHeight="1" x14ac:dyDescent="0.25">
      <c r="A2180" s="1" t="s">
        <v>1690</v>
      </c>
      <c r="B2180" s="1" t="s">
        <v>2</v>
      </c>
      <c r="C2180" s="4">
        <v>1568754.23</v>
      </c>
      <c r="D2180" s="4">
        <v>167951.25</v>
      </c>
      <c r="E2180" s="4">
        <f>E2158+E2172+SUM(E2174:E2178)</f>
        <v>397989.25</v>
      </c>
      <c r="F2180" s="6">
        <f>SUM(F2174:F2178)+F2172+F2158</f>
        <v>1569393</v>
      </c>
      <c r="G2180" s="6">
        <f>SUM(G2174:G2178)+G2172+G2158</f>
        <v>1590019.3</v>
      </c>
    </row>
    <row r="2181" spans="1:8" ht="15" customHeight="1" x14ac:dyDescent="0.25">
      <c r="A2181" s="25" t="s">
        <v>3028</v>
      </c>
      <c r="B2181" s="25" t="s">
        <v>2</v>
      </c>
      <c r="C2181" s="33">
        <f>C2131+C2147-C2180</f>
        <v>3964.4899999999907</v>
      </c>
      <c r="D2181" s="33">
        <f t="shared" ref="D2181:G2181" si="57">D2131+D2147-D2180</f>
        <v>-163983.96</v>
      </c>
      <c r="E2181" s="33">
        <f t="shared" si="57"/>
        <v>3972.7399999999907</v>
      </c>
      <c r="F2181" s="33">
        <f t="shared" si="57"/>
        <v>3164.4899999999907</v>
      </c>
      <c r="G2181" s="33">
        <f t="shared" si="57"/>
        <v>-1586854.81</v>
      </c>
      <c r="H2181" s="25"/>
    </row>
    <row r="2182" spans="1:8" x14ac:dyDescent="0.25">
      <c r="A2182" s="1" t="s">
        <v>2</v>
      </c>
      <c r="B2182" s="1" t="s">
        <v>2</v>
      </c>
      <c r="C2182" s="1" t="s">
        <v>2</v>
      </c>
      <c r="D2182" s="1" t="s">
        <v>2</v>
      </c>
      <c r="E2182" s="1"/>
      <c r="F2182" s="1" t="s">
        <v>2</v>
      </c>
      <c r="G2182" s="1" t="s">
        <v>2</v>
      </c>
    </row>
    <row r="2183" spans="1:8" ht="15" customHeight="1" x14ac:dyDescent="0.25">
      <c r="A2183" s="27" t="s">
        <v>3029</v>
      </c>
      <c r="B2183" s="27" t="s">
        <v>2</v>
      </c>
      <c r="C2183" s="28">
        <v>1149587.3700000001</v>
      </c>
      <c r="D2183" s="28">
        <v>1150468.8600000001</v>
      </c>
      <c r="E2183" s="28">
        <v>1150468.8600000001</v>
      </c>
      <c r="F2183" s="28">
        <v>1150468.8600000001</v>
      </c>
      <c r="G2183" s="28">
        <f>F2202</f>
        <v>1150468.8600000001</v>
      </c>
      <c r="H2183" s="27"/>
    </row>
    <row r="2184" spans="1:8" x14ac:dyDescent="0.25">
      <c r="A2184" s="23" t="s">
        <v>1691</v>
      </c>
      <c r="B2184" s="23" t="s">
        <v>2</v>
      </c>
      <c r="C2184" s="29"/>
      <c r="D2184" s="29"/>
      <c r="E2184" s="29"/>
      <c r="F2184" s="29"/>
      <c r="G2184" s="29"/>
      <c r="H2184" s="29"/>
    </row>
    <row r="2185" spans="1:8" x14ac:dyDescent="0.25">
      <c r="A2185" s="23" t="s">
        <v>2026</v>
      </c>
      <c r="B2185" s="23" t="s">
        <v>2</v>
      </c>
      <c r="C2185" s="29"/>
      <c r="D2185" s="29"/>
      <c r="E2185" s="29"/>
      <c r="F2185" s="29"/>
      <c r="G2185" s="29"/>
      <c r="H2185" s="29"/>
    </row>
    <row r="2186" spans="1:8" x14ac:dyDescent="0.25">
      <c r="A2186" s="23" t="s">
        <v>2175</v>
      </c>
      <c r="B2186" s="23" t="s">
        <v>2</v>
      </c>
      <c r="C2186" s="29"/>
      <c r="D2186" s="29"/>
      <c r="E2186" s="29"/>
      <c r="F2186" s="29"/>
      <c r="G2186" s="29"/>
      <c r="H2186" s="29"/>
    </row>
    <row r="2187" spans="1:8" x14ac:dyDescent="0.25">
      <c r="A2187" s="23" t="s">
        <v>2176</v>
      </c>
      <c r="B2187" s="23" t="s">
        <v>2</v>
      </c>
      <c r="C2187" s="29"/>
      <c r="D2187" s="29"/>
      <c r="E2187" s="29"/>
      <c r="F2187" s="29"/>
      <c r="G2187" s="29"/>
      <c r="H2187" s="29"/>
    </row>
    <row r="2188" spans="1:8" x14ac:dyDescent="0.25">
      <c r="A2188" s="30" t="s">
        <v>3030</v>
      </c>
      <c r="B2188" s="30" t="s">
        <v>2409</v>
      </c>
      <c r="C2188" s="31">
        <v>881.49</v>
      </c>
      <c r="D2188" s="31">
        <v>736.37</v>
      </c>
      <c r="E2188" s="31">
        <v>2168.4899999999998</v>
      </c>
      <c r="F2188" s="31">
        <v>0</v>
      </c>
      <c r="G2188" s="31">
        <v>0</v>
      </c>
      <c r="H2188" s="29"/>
    </row>
    <row r="2189" spans="1:8" x14ac:dyDescent="0.25">
      <c r="A2189" s="30" t="s">
        <v>3031</v>
      </c>
      <c r="B2189" s="30" t="s">
        <v>2703</v>
      </c>
      <c r="C2189" s="31">
        <v>0</v>
      </c>
      <c r="D2189" s="31">
        <v>0</v>
      </c>
      <c r="E2189" s="31">
        <v>0</v>
      </c>
      <c r="F2189" s="31">
        <v>0</v>
      </c>
      <c r="G2189" s="31">
        <v>0</v>
      </c>
      <c r="H2189" s="29"/>
    </row>
    <row r="2190" spans="1:8" ht="24" x14ac:dyDescent="0.25">
      <c r="A2190" s="23" t="s">
        <v>2179</v>
      </c>
      <c r="B2190" s="23" t="s">
        <v>2</v>
      </c>
      <c r="C2190" s="32">
        <v>881.49</v>
      </c>
      <c r="D2190" s="32">
        <v>736.37</v>
      </c>
      <c r="E2190" s="32">
        <f>SUM(E2188:E2189)</f>
        <v>2168.4899999999998</v>
      </c>
      <c r="F2190" s="32">
        <f>SUM(F2188:F2189)</f>
        <v>0</v>
      </c>
      <c r="G2190" s="32">
        <f>SUM(G2188:G2189)</f>
        <v>0</v>
      </c>
      <c r="H2190" s="29"/>
    </row>
    <row r="2191" spans="1:8" x14ac:dyDescent="0.25">
      <c r="A2191" s="23" t="s">
        <v>2</v>
      </c>
      <c r="B2191" s="23" t="s">
        <v>2</v>
      </c>
      <c r="C2191" s="23" t="s">
        <v>2</v>
      </c>
      <c r="D2191" s="23" t="s">
        <v>2</v>
      </c>
      <c r="E2191" s="23"/>
      <c r="F2191" s="23" t="s">
        <v>2</v>
      </c>
      <c r="G2191" s="23" t="s">
        <v>2</v>
      </c>
      <c r="H2191" s="29"/>
    </row>
    <row r="2192" spans="1:8" x14ac:dyDescent="0.25">
      <c r="A2192" s="23" t="s">
        <v>2047</v>
      </c>
      <c r="B2192" s="23" t="s">
        <v>2</v>
      </c>
      <c r="C2192" s="32">
        <v>881.49</v>
      </c>
      <c r="D2192" s="32">
        <v>736.37</v>
      </c>
      <c r="E2192" s="32">
        <f>E2190</f>
        <v>2168.4899999999998</v>
      </c>
      <c r="F2192" s="32">
        <f>F2190</f>
        <v>0</v>
      </c>
      <c r="G2192" s="32">
        <f>G2190</f>
        <v>0</v>
      </c>
      <c r="H2192" s="29"/>
    </row>
    <row r="2193" spans="1:8" x14ac:dyDescent="0.25">
      <c r="A2193" s="1" t="s">
        <v>740</v>
      </c>
      <c r="B2193" s="1"/>
      <c r="C2193" s="4"/>
      <c r="D2193" s="4"/>
      <c r="E2193" s="4"/>
      <c r="F2193" s="6"/>
      <c r="G2193" s="6"/>
      <c r="H2193" s="6"/>
    </row>
    <row r="2194" spans="1:8" ht="15" customHeight="1" x14ac:dyDescent="0.25">
      <c r="A2194" s="1" t="s">
        <v>1691</v>
      </c>
      <c r="B2194" s="1" t="s">
        <v>2</v>
      </c>
      <c r="C2194" s="40"/>
      <c r="F2194" s="40"/>
    </row>
    <row r="2195" spans="1:8" ht="15" customHeight="1" x14ac:dyDescent="0.25">
      <c r="A2195" s="1" t="s">
        <v>706</v>
      </c>
      <c r="B2195" s="1" t="s">
        <v>2</v>
      </c>
    </row>
    <row r="2196" spans="1:8" ht="15" customHeight="1" x14ac:dyDescent="0.25">
      <c r="A2196" s="2" t="s">
        <v>1692</v>
      </c>
      <c r="B2196" s="2" t="s">
        <v>1693</v>
      </c>
      <c r="C2196" s="3">
        <v>0</v>
      </c>
      <c r="D2196" s="3">
        <v>0</v>
      </c>
      <c r="E2196" s="3">
        <v>0</v>
      </c>
      <c r="F2196" s="3">
        <v>0</v>
      </c>
      <c r="G2196" s="3">
        <v>0</v>
      </c>
    </row>
    <row r="2197" spans="1:8" ht="15" customHeight="1" x14ac:dyDescent="0.25">
      <c r="A2197" s="2" t="s">
        <v>1694</v>
      </c>
      <c r="B2197" s="2" t="s">
        <v>1695</v>
      </c>
      <c r="C2197" s="3">
        <v>0</v>
      </c>
      <c r="D2197" s="3">
        <v>0</v>
      </c>
      <c r="E2197" s="3">
        <v>0</v>
      </c>
      <c r="F2197" s="3">
        <v>0</v>
      </c>
      <c r="G2197" s="3">
        <v>0</v>
      </c>
    </row>
    <row r="2198" spans="1:8" ht="15" customHeight="1" x14ac:dyDescent="0.25">
      <c r="A2198" s="2" t="s">
        <v>1696</v>
      </c>
      <c r="B2198" s="2" t="s">
        <v>1697</v>
      </c>
      <c r="C2198" s="3">
        <v>0</v>
      </c>
      <c r="D2198" s="3">
        <v>0</v>
      </c>
      <c r="E2198" s="3">
        <v>0</v>
      </c>
      <c r="F2198" s="3">
        <v>0</v>
      </c>
      <c r="G2198" s="3">
        <v>0</v>
      </c>
    </row>
    <row r="2199" spans="1:8" ht="15" customHeight="1" x14ac:dyDescent="0.25">
      <c r="A2199" s="1" t="s">
        <v>737</v>
      </c>
      <c r="B2199" s="1" t="s">
        <v>2</v>
      </c>
      <c r="C2199" s="4">
        <v>0</v>
      </c>
      <c r="D2199" s="4">
        <v>0</v>
      </c>
      <c r="E2199" s="4">
        <f>SUM(E2196:E2198)</f>
        <v>0</v>
      </c>
      <c r="F2199" s="6">
        <f>SUM(F2196:F2198)</f>
        <v>0</v>
      </c>
      <c r="G2199" s="6">
        <f>SUM(G2196:G2198)</f>
        <v>0</v>
      </c>
    </row>
    <row r="2200" spans="1:8" x14ac:dyDescent="0.25">
      <c r="A2200" s="1" t="s">
        <v>2</v>
      </c>
      <c r="B2200" s="1" t="s">
        <v>2</v>
      </c>
      <c r="C2200" s="1" t="s">
        <v>2</v>
      </c>
      <c r="D2200" s="1" t="s">
        <v>2</v>
      </c>
      <c r="E2200" s="1"/>
      <c r="F2200" s="1" t="s">
        <v>2</v>
      </c>
      <c r="G2200" s="1" t="s">
        <v>2</v>
      </c>
    </row>
    <row r="2201" spans="1:8" ht="15" customHeight="1" x14ac:dyDescent="0.25">
      <c r="A2201" s="1" t="s">
        <v>1698</v>
      </c>
      <c r="B2201" s="1" t="s">
        <v>2</v>
      </c>
      <c r="C2201" s="4">
        <v>0</v>
      </c>
      <c r="D2201" s="4">
        <v>0</v>
      </c>
      <c r="E2201" s="4">
        <f>E2199</f>
        <v>0</v>
      </c>
      <c r="F2201" s="6">
        <f>F2199</f>
        <v>0</v>
      </c>
      <c r="G2201" s="6">
        <f>G2199</f>
        <v>0</v>
      </c>
    </row>
    <row r="2202" spans="1:8" ht="15" customHeight="1" x14ac:dyDescent="0.25">
      <c r="A2202" s="25" t="s">
        <v>3032</v>
      </c>
      <c r="B2202" s="25"/>
      <c r="C2202" s="33">
        <f>C2183+C2192-C2201</f>
        <v>1150468.8600000001</v>
      </c>
      <c r="D2202" s="33">
        <f t="shared" ref="D2202:G2202" si="58">D2183+D2192-D2201</f>
        <v>1151205.2300000002</v>
      </c>
      <c r="E2202" s="33">
        <f t="shared" si="58"/>
        <v>1152637.3500000001</v>
      </c>
      <c r="F2202" s="33">
        <f t="shared" si="58"/>
        <v>1150468.8600000001</v>
      </c>
      <c r="G2202" s="33">
        <f t="shared" si="58"/>
        <v>1150468.8600000001</v>
      </c>
      <c r="H2202" s="25"/>
    </row>
    <row r="2203" spans="1:8" x14ac:dyDescent="0.25">
      <c r="A2203" s="2" t="s">
        <v>2</v>
      </c>
      <c r="B2203" s="2" t="s">
        <v>2</v>
      </c>
      <c r="C2203" s="2" t="s">
        <v>2</v>
      </c>
      <c r="D2203" s="2" t="s">
        <v>2</v>
      </c>
      <c r="E2203" s="2"/>
      <c r="F2203" s="2" t="s">
        <v>2</v>
      </c>
      <c r="G2203" s="2" t="s">
        <v>2</v>
      </c>
    </row>
    <row r="2204" spans="1:8" ht="15" customHeight="1" x14ac:dyDescent="0.25">
      <c r="A2204" s="27" t="s">
        <v>3033</v>
      </c>
      <c r="B2204" s="27"/>
      <c r="C2204" s="28">
        <v>885916.34</v>
      </c>
      <c r="D2204" s="28">
        <v>1887732.47</v>
      </c>
      <c r="E2204" s="28">
        <v>1887732.47</v>
      </c>
      <c r="F2204" s="28">
        <v>1887732.47</v>
      </c>
      <c r="G2204" s="28">
        <f>F2224</f>
        <v>4887732.47</v>
      </c>
      <c r="H2204" s="27"/>
    </row>
    <row r="2205" spans="1:8" x14ac:dyDescent="0.25">
      <c r="A2205" s="23" t="s">
        <v>3034</v>
      </c>
      <c r="B2205" s="23" t="s">
        <v>2</v>
      </c>
      <c r="C2205" s="29"/>
      <c r="D2205" s="29"/>
      <c r="E2205" s="29"/>
      <c r="F2205" s="29"/>
      <c r="G2205" s="29"/>
      <c r="H2205" s="29"/>
    </row>
    <row r="2206" spans="1:8" x14ac:dyDescent="0.25">
      <c r="A2206" s="23" t="s">
        <v>2026</v>
      </c>
      <c r="B2206" s="23" t="s">
        <v>2</v>
      </c>
      <c r="C2206" s="29"/>
      <c r="D2206" s="29"/>
      <c r="E2206" s="29"/>
      <c r="F2206" s="29"/>
      <c r="G2206" s="29"/>
      <c r="H2206" s="29"/>
    </row>
    <row r="2207" spans="1:8" x14ac:dyDescent="0.25">
      <c r="A2207" s="30" t="s">
        <v>3035</v>
      </c>
      <c r="B2207" s="30" t="s">
        <v>2409</v>
      </c>
      <c r="C2207" s="31">
        <v>1816.13</v>
      </c>
      <c r="D2207" s="31">
        <v>1388.83</v>
      </c>
      <c r="E2207" s="31">
        <v>4089.91</v>
      </c>
      <c r="F2207" s="31">
        <v>0</v>
      </c>
      <c r="G2207" s="31">
        <v>0</v>
      </c>
      <c r="H2207" s="29"/>
    </row>
    <row r="2208" spans="1:8" x14ac:dyDescent="0.25">
      <c r="A2208" s="23" t="s">
        <v>2</v>
      </c>
      <c r="B2208" s="23" t="s">
        <v>2</v>
      </c>
      <c r="C2208" s="23" t="s">
        <v>2</v>
      </c>
      <c r="D2208" s="23" t="s">
        <v>2</v>
      </c>
      <c r="E2208" s="23"/>
      <c r="F2208" s="23" t="s">
        <v>2</v>
      </c>
      <c r="G2208" s="23" t="s">
        <v>2</v>
      </c>
      <c r="H2208" s="29"/>
    </row>
    <row r="2209" spans="1:8" x14ac:dyDescent="0.25">
      <c r="A2209" s="23" t="s">
        <v>2553</v>
      </c>
      <c r="B2209" s="23" t="s">
        <v>2</v>
      </c>
      <c r="C2209" s="29"/>
      <c r="D2209" s="29"/>
      <c r="E2209" s="29"/>
      <c r="F2209" s="29"/>
      <c r="G2209" s="29"/>
      <c r="H2209" s="29"/>
    </row>
    <row r="2210" spans="1:8" x14ac:dyDescent="0.25">
      <c r="A2210" s="30" t="s">
        <v>3036</v>
      </c>
      <c r="B2210" s="30" t="s">
        <v>3037</v>
      </c>
      <c r="C2210" s="31">
        <v>1000000</v>
      </c>
      <c r="D2210" s="31">
        <v>0</v>
      </c>
      <c r="E2210" s="31">
        <v>0</v>
      </c>
      <c r="F2210" s="31">
        <v>3000000</v>
      </c>
      <c r="G2210" s="58">
        <v>0</v>
      </c>
      <c r="H2210" s="29"/>
    </row>
    <row r="2211" spans="1:8" ht="24" x14ac:dyDescent="0.25">
      <c r="A2211" s="23" t="s">
        <v>2556</v>
      </c>
      <c r="B2211" s="23" t="s">
        <v>2</v>
      </c>
      <c r="C2211" s="32">
        <v>1000000</v>
      </c>
      <c r="D2211" s="32">
        <v>0</v>
      </c>
      <c r="E2211" s="32">
        <f>E2210</f>
        <v>0</v>
      </c>
      <c r="F2211" s="32">
        <f>SUM(F2210)</f>
        <v>3000000</v>
      </c>
      <c r="G2211" s="32">
        <f>SUM(G2210)</f>
        <v>0</v>
      </c>
      <c r="H2211" s="29"/>
    </row>
    <row r="2212" spans="1:8" x14ac:dyDescent="0.25">
      <c r="A2212" s="23" t="s">
        <v>2</v>
      </c>
      <c r="B2212" s="23" t="s">
        <v>2</v>
      </c>
      <c r="C2212" s="23" t="s">
        <v>2</v>
      </c>
      <c r="D2212" s="23" t="s">
        <v>2</v>
      </c>
      <c r="E2212" s="23"/>
      <c r="F2212" s="23" t="s">
        <v>2</v>
      </c>
      <c r="G2212" s="23" t="s">
        <v>2</v>
      </c>
      <c r="H2212" s="29"/>
    </row>
    <row r="2213" spans="1:8" x14ac:dyDescent="0.25">
      <c r="A2213" s="23" t="s">
        <v>3038</v>
      </c>
      <c r="B2213" s="23" t="s">
        <v>2</v>
      </c>
      <c r="C2213" s="32">
        <v>1001816.13</v>
      </c>
      <c r="D2213" s="32">
        <v>1388.83</v>
      </c>
      <c r="E2213" s="32">
        <f>E2207+E2211</f>
        <v>4089.91</v>
      </c>
      <c r="F2213" s="32">
        <f>F2211+F2207</f>
        <v>3000000</v>
      </c>
      <c r="G2213" s="32">
        <f>G2211+G2207</f>
        <v>0</v>
      </c>
      <c r="H2213" s="29"/>
    </row>
    <row r="2214" spans="1:8" ht="15" customHeight="1" x14ac:dyDescent="0.25">
      <c r="A2214" s="1" t="s">
        <v>740</v>
      </c>
      <c r="B2214" s="34"/>
      <c r="C2214" s="35"/>
      <c r="D2214" s="35"/>
      <c r="E2214" s="35"/>
      <c r="F2214" s="35"/>
      <c r="G2214" s="35"/>
      <c r="H2214" s="34"/>
    </row>
    <row r="2215" spans="1:8" ht="15" customHeight="1" x14ac:dyDescent="0.25">
      <c r="A2215" s="1" t="s">
        <v>556</v>
      </c>
      <c r="B2215" s="34"/>
      <c r="C2215" s="35"/>
      <c r="D2215" s="35"/>
      <c r="E2215" s="35"/>
      <c r="F2215" s="35"/>
      <c r="G2215" s="35"/>
      <c r="H2215" s="34"/>
    </row>
    <row r="2216" spans="1:8" ht="15" customHeight="1" x14ac:dyDescent="0.25">
      <c r="A2216" s="1" t="s">
        <v>1645</v>
      </c>
      <c r="B2216" s="34"/>
      <c r="C2216" s="35"/>
      <c r="D2216" s="35"/>
      <c r="E2216" s="35"/>
      <c r="F2216" s="35"/>
      <c r="G2216" s="35"/>
      <c r="H2216" s="34"/>
    </row>
    <row r="2217" spans="1:8" ht="15" customHeight="1" x14ac:dyDescent="0.25">
      <c r="A2217" s="68" t="s">
        <v>3454</v>
      </c>
      <c r="B2217" s="68" t="s">
        <v>3457</v>
      </c>
      <c r="C2217" s="70">
        <v>0</v>
      </c>
      <c r="D2217" s="70">
        <v>0</v>
      </c>
      <c r="E2217" s="70">
        <v>0</v>
      </c>
      <c r="F2217" s="70">
        <v>0</v>
      </c>
      <c r="G2217" s="70">
        <v>1455556.16</v>
      </c>
      <c r="H2217" s="34"/>
    </row>
    <row r="2218" spans="1:8" ht="15" customHeight="1" x14ac:dyDescent="0.25">
      <c r="A2218" s="1" t="s">
        <v>1660</v>
      </c>
      <c r="B2218" s="34"/>
      <c r="C2218" s="35">
        <f>C2217</f>
        <v>0</v>
      </c>
      <c r="D2218" s="35">
        <f t="shared" ref="D2218:G2218" si="59">D2217</f>
        <v>0</v>
      </c>
      <c r="E2218" s="35">
        <f t="shared" si="59"/>
        <v>0</v>
      </c>
      <c r="F2218" s="35">
        <f t="shared" si="59"/>
        <v>0</v>
      </c>
      <c r="G2218" s="35">
        <f t="shared" si="59"/>
        <v>1455556.16</v>
      </c>
      <c r="H2218" s="34"/>
    </row>
    <row r="2219" spans="1:8" ht="15" customHeight="1" x14ac:dyDescent="0.25">
      <c r="A2219" s="1"/>
      <c r="B2219" s="34"/>
      <c r="C2219" s="35"/>
      <c r="D2219" s="35"/>
      <c r="E2219" s="35"/>
      <c r="F2219" s="35"/>
      <c r="G2219" s="35"/>
      <c r="H2219" s="34"/>
    </row>
    <row r="2220" spans="1:8" ht="15" customHeight="1" x14ac:dyDescent="0.25">
      <c r="A2220" s="1" t="s">
        <v>1153</v>
      </c>
      <c r="B2220" s="34"/>
      <c r="C2220" s="35"/>
      <c r="D2220" s="35"/>
      <c r="E2220" s="35"/>
      <c r="F2220" s="35"/>
      <c r="G2220" s="35"/>
      <c r="H2220" s="34"/>
    </row>
    <row r="2221" spans="1:8" ht="15" customHeight="1" x14ac:dyDescent="0.25">
      <c r="A2221" s="68" t="s">
        <v>3454</v>
      </c>
      <c r="B2221" s="68" t="s">
        <v>3458</v>
      </c>
      <c r="C2221" s="70">
        <v>0</v>
      </c>
      <c r="D2221" s="70">
        <v>0</v>
      </c>
      <c r="E2221" s="70">
        <v>0</v>
      </c>
      <c r="F2221" s="70">
        <v>0</v>
      </c>
      <c r="G2221" s="70">
        <v>661578.16</v>
      </c>
      <c r="H2221" s="34"/>
    </row>
    <row r="2222" spans="1:8" ht="15" customHeight="1" x14ac:dyDescent="0.25">
      <c r="A2222" s="1" t="s">
        <v>3455</v>
      </c>
      <c r="B2222" s="69"/>
      <c r="C2222" s="35">
        <f>C2221</f>
        <v>0</v>
      </c>
      <c r="D2222" s="35">
        <f t="shared" ref="D2222:G2222" si="60">D2221</f>
        <v>0</v>
      </c>
      <c r="E2222" s="35">
        <f t="shared" si="60"/>
        <v>0</v>
      </c>
      <c r="F2222" s="35">
        <f t="shared" si="60"/>
        <v>0</v>
      </c>
      <c r="G2222" s="35">
        <f t="shared" si="60"/>
        <v>661578.16</v>
      </c>
      <c r="H2222" s="34"/>
    </row>
    <row r="2223" spans="1:8" ht="15" customHeight="1" x14ac:dyDescent="0.25">
      <c r="A2223" s="1" t="s">
        <v>3456</v>
      </c>
      <c r="B2223" s="69"/>
      <c r="C2223" s="35"/>
      <c r="D2223" s="35"/>
      <c r="E2223" s="35"/>
      <c r="F2223" s="35"/>
      <c r="G2223" s="35">
        <f>C2204+C2213-C2223</f>
        <v>1887732.47</v>
      </c>
      <c r="H2223" s="34"/>
    </row>
    <row r="2224" spans="1:8" ht="15" customHeight="1" x14ac:dyDescent="0.25">
      <c r="A2224" s="25" t="s">
        <v>3039</v>
      </c>
      <c r="B2224" s="25"/>
      <c r="C2224" s="33">
        <f>C2204+C2213-C2223</f>
        <v>1887732.47</v>
      </c>
      <c r="D2224" s="33">
        <f t="shared" ref="D2224:F2224" si="61">D2204+D2213-D2223</f>
        <v>1889121.3</v>
      </c>
      <c r="E2224" s="33">
        <f t="shared" si="61"/>
        <v>1891822.38</v>
      </c>
      <c r="F2224" s="33">
        <f t="shared" si="61"/>
        <v>4887732.47</v>
      </c>
      <c r="G2224" s="33">
        <f>G2204+G2213-G2223</f>
        <v>3000000</v>
      </c>
      <c r="H2224" s="25"/>
    </row>
    <row r="2225" spans="1:8" ht="15" customHeight="1" x14ac:dyDescent="0.25">
      <c r="A2225" s="34"/>
      <c r="B2225" s="34"/>
      <c r="C2225" s="35"/>
      <c r="D2225" s="35"/>
      <c r="E2225" s="35"/>
      <c r="F2225" s="35"/>
      <c r="G2225" s="35"/>
      <c r="H2225" s="34"/>
    </row>
    <row r="2226" spans="1:8" ht="15" customHeight="1" x14ac:dyDescent="0.25">
      <c r="A2226" s="27" t="s">
        <v>3040</v>
      </c>
      <c r="B2226" s="27"/>
      <c r="C2226" s="28">
        <v>1690428.81</v>
      </c>
      <c r="D2226" s="28">
        <v>1971194.38</v>
      </c>
      <c r="E2226" s="28">
        <v>1971194.38</v>
      </c>
      <c r="F2226" s="28">
        <v>1971194.38</v>
      </c>
      <c r="G2226" s="28">
        <f>F2404</f>
        <v>1898686.2999999989</v>
      </c>
      <c r="H2226" s="27"/>
    </row>
    <row r="2227" spans="1:8" x14ac:dyDescent="0.25">
      <c r="A2227" s="23" t="s">
        <v>1699</v>
      </c>
      <c r="B2227" s="23" t="s">
        <v>2</v>
      </c>
      <c r="C2227" s="29"/>
      <c r="D2227" s="29"/>
      <c r="E2227" s="29"/>
      <c r="F2227" s="29"/>
      <c r="G2227" s="29"/>
      <c r="H2227" s="29"/>
    </row>
    <row r="2228" spans="1:8" x14ac:dyDescent="0.25">
      <c r="A2228" s="23" t="s">
        <v>2026</v>
      </c>
      <c r="B2228" s="23" t="s">
        <v>2</v>
      </c>
      <c r="C2228" s="29"/>
      <c r="D2228" s="29"/>
      <c r="E2228" s="29"/>
      <c r="F2228" s="29"/>
      <c r="G2228" s="29"/>
      <c r="H2228" s="29"/>
    </row>
    <row r="2229" spans="1:8" x14ac:dyDescent="0.25">
      <c r="A2229" s="23" t="s">
        <v>2102</v>
      </c>
      <c r="B2229" s="23" t="s">
        <v>2</v>
      </c>
      <c r="C2229" s="29"/>
      <c r="D2229" s="29"/>
      <c r="E2229" s="29"/>
      <c r="F2229" s="29"/>
      <c r="G2229" s="29"/>
      <c r="H2229" s="29"/>
    </row>
    <row r="2230" spans="1:8" x14ac:dyDescent="0.25">
      <c r="A2230" s="23" t="s">
        <v>2111</v>
      </c>
      <c r="B2230" s="23" t="s">
        <v>2</v>
      </c>
      <c r="C2230" s="29"/>
      <c r="D2230" s="29"/>
      <c r="E2230" s="29"/>
      <c r="F2230" s="29"/>
      <c r="G2230" s="29"/>
      <c r="H2230" s="29"/>
    </row>
    <row r="2231" spans="1:8" x14ac:dyDescent="0.25">
      <c r="A2231" s="30" t="s">
        <v>3041</v>
      </c>
      <c r="B2231" s="30" t="s">
        <v>2608</v>
      </c>
      <c r="C2231" s="31">
        <v>0</v>
      </c>
      <c r="D2231" s="31">
        <v>0</v>
      </c>
      <c r="E2231" s="31">
        <v>0</v>
      </c>
      <c r="F2231" s="31">
        <v>0</v>
      </c>
      <c r="G2231" s="31">
        <v>0</v>
      </c>
      <c r="H2231" s="29"/>
    </row>
    <row r="2232" spans="1:8" x14ac:dyDescent="0.25">
      <c r="A2232" s="30" t="s">
        <v>3042</v>
      </c>
      <c r="B2232" s="30" t="s">
        <v>2123</v>
      </c>
      <c r="C2232" s="31">
        <v>77.41</v>
      </c>
      <c r="D2232" s="31">
        <v>0</v>
      </c>
      <c r="E2232" s="31">
        <v>0</v>
      </c>
      <c r="F2232" s="31">
        <v>0</v>
      </c>
      <c r="G2232" s="31">
        <v>0</v>
      </c>
      <c r="H2232" s="29"/>
    </row>
    <row r="2233" spans="1:8" x14ac:dyDescent="0.25">
      <c r="A2233" s="23" t="s">
        <v>2126</v>
      </c>
      <c r="B2233" s="23" t="s">
        <v>2</v>
      </c>
      <c r="C2233" s="32">
        <v>77.41</v>
      </c>
      <c r="D2233" s="32">
        <v>0</v>
      </c>
      <c r="E2233" s="32">
        <f>E2231+E2232</f>
        <v>0</v>
      </c>
      <c r="F2233" s="32">
        <f>SUM(F2231:F2232)</f>
        <v>0</v>
      </c>
      <c r="G2233" s="32">
        <f>SUM(G2231:G2232)</f>
        <v>0</v>
      </c>
      <c r="H2233" s="29"/>
    </row>
    <row r="2234" spans="1:8" x14ac:dyDescent="0.25">
      <c r="A2234" s="23" t="s">
        <v>2</v>
      </c>
      <c r="B2234" s="23" t="s">
        <v>2</v>
      </c>
      <c r="C2234" s="23" t="s">
        <v>2</v>
      </c>
      <c r="D2234" s="23" t="s">
        <v>2</v>
      </c>
      <c r="E2234" s="23"/>
      <c r="F2234" s="23" t="s">
        <v>2</v>
      </c>
      <c r="G2234" s="23" t="s">
        <v>2</v>
      </c>
      <c r="H2234" s="29"/>
    </row>
    <row r="2235" spans="1:8" x14ac:dyDescent="0.25">
      <c r="A2235" s="23" t="s">
        <v>2127</v>
      </c>
      <c r="B2235" s="23" t="s">
        <v>2</v>
      </c>
      <c r="C2235" s="29"/>
      <c r="D2235" s="29"/>
      <c r="E2235" s="29"/>
      <c r="F2235" s="29"/>
      <c r="G2235" s="29"/>
      <c r="H2235" s="29"/>
    </row>
    <row r="2236" spans="1:8" x14ac:dyDescent="0.25">
      <c r="A2236" s="30" t="s">
        <v>3043</v>
      </c>
      <c r="B2236" s="30" t="s">
        <v>3044</v>
      </c>
      <c r="C2236" s="31">
        <v>129721.74</v>
      </c>
      <c r="D2236" s="31">
        <v>20537.810000000001</v>
      </c>
      <c r="E2236" s="31">
        <v>1013625.56</v>
      </c>
      <c r="F2236" s="31">
        <v>0</v>
      </c>
      <c r="G2236" s="58">
        <v>0</v>
      </c>
      <c r="H2236" s="29"/>
    </row>
    <row r="2237" spans="1:8" x14ac:dyDescent="0.25">
      <c r="A2237" s="30" t="s">
        <v>3045</v>
      </c>
      <c r="B2237" s="30" t="s">
        <v>3046</v>
      </c>
      <c r="C2237" s="31">
        <v>0</v>
      </c>
      <c r="D2237" s="31">
        <v>0</v>
      </c>
      <c r="E2237" s="31">
        <v>0</v>
      </c>
      <c r="F2237" s="31">
        <v>2421935</v>
      </c>
      <c r="G2237" s="67">
        <v>2421935</v>
      </c>
      <c r="H2237" s="29"/>
    </row>
    <row r="2238" spans="1:8" x14ac:dyDescent="0.25">
      <c r="A2238" s="30" t="s">
        <v>3047</v>
      </c>
      <c r="B2238" s="30" t="s">
        <v>3048</v>
      </c>
      <c r="C2238" s="31">
        <v>0</v>
      </c>
      <c r="D2238" s="31">
        <v>0</v>
      </c>
      <c r="E2238" s="31">
        <v>0</v>
      </c>
      <c r="F2238" s="31">
        <v>0</v>
      </c>
      <c r="G2238" s="58">
        <v>0</v>
      </c>
      <c r="H2238" s="29"/>
    </row>
    <row r="2239" spans="1:8" x14ac:dyDescent="0.25">
      <c r="A2239" s="23" t="s">
        <v>2157</v>
      </c>
      <c r="B2239" s="23" t="s">
        <v>2</v>
      </c>
      <c r="C2239" s="32">
        <v>129721.74</v>
      </c>
      <c r="D2239" s="32">
        <v>20537.810000000001</v>
      </c>
      <c r="E2239" s="32">
        <f>SUM(E2236:E2238)</f>
        <v>1013625.56</v>
      </c>
      <c r="F2239" s="32">
        <f>SUM(F2236:F2238)</f>
        <v>2421935</v>
      </c>
      <c r="G2239" s="32">
        <f>SUM(G2236:G2238)</f>
        <v>2421935</v>
      </c>
      <c r="H2239" s="29"/>
    </row>
    <row r="2240" spans="1:8" x14ac:dyDescent="0.25">
      <c r="A2240" s="23" t="s">
        <v>2</v>
      </c>
      <c r="B2240" s="23" t="s">
        <v>2</v>
      </c>
      <c r="C2240" s="23" t="s">
        <v>2</v>
      </c>
      <c r="D2240" s="23" t="s">
        <v>2</v>
      </c>
      <c r="E2240" s="23"/>
      <c r="F2240" s="23" t="s">
        <v>2</v>
      </c>
      <c r="G2240" s="23" t="s">
        <v>2</v>
      </c>
      <c r="H2240" s="29"/>
    </row>
    <row r="2241" spans="1:8" x14ac:dyDescent="0.25">
      <c r="A2241" s="30" t="s">
        <v>3049</v>
      </c>
      <c r="B2241" s="30" t="s">
        <v>3050</v>
      </c>
      <c r="C2241" s="31">
        <v>0</v>
      </c>
      <c r="D2241" s="31">
        <v>0</v>
      </c>
      <c r="E2241" s="31">
        <v>0</v>
      </c>
      <c r="F2241" s="31">
        <v>0</v>
      </c>
      <c r="G2241" s="31">
        <v>0</v>
      </c>
      <c r="H2241" s="29"/>
    </row>
    <row r="2242" spans="1:8" x14ac:dyDescent="0.25">
      <c r="A2242" s="30"/>
      <c r="B2242" s="30"/>
      <c r="C2242" s="31"/>
      <c r="D2242" s="31"/>
      <c r="E2242" s="31"/>
      <c r="F2242" s="31"/>
      <c r="G2242" s="31"/>
      <c r="H2242" s="29"/>
    </row>
    <row r="2243" spans="1:8" ht="24" x14ac:dyDescent="0.25">
      <c r="A2243" s="23" t="s">
        <v>2174</v>
      </c>
      <c r="B2243" s="23" t="s">
        <v>2</v>
      </c>
      <c r="C2243" s="32">
        <v>129799.15</v>
      </c>
      <c r="D2243" s="32">
        <v>20537.810000000001</v>
      </c>
      <c r="E2243" s="32">
        <f>E2233+E2239+E2241</f>
        <v>1013625.56</v>
      </c>
      <c r="F2243" s="32">
        <f>F2241+F2239+F2233</f>
        <v>2421935</v>
      </c>
      <c r="G2243" s="32">
        <f>G2241+G2239+G2233</f>
        <v>2421935</v>
      </c>
      <c r="H2243" s="29"/>
    </row>
    <row r="2244" spans="1:8" x14ac:dyDescent="0.25">
      <c r="A2244" s="23" t="s">
        <v>2</v>
      </c>
      <c r="B2244" s="23" t="s">
        <v>2</v>
      </c>
      <c r="C2244" s="23" t="s">
        <v>2</v>
      </c>
      <c r="D2244" s="23" t="s">
        <v>2</v>
      </c>
      <c r="E2244" s="23"/>
      <c r="F2244" s="23" t="s">
        <v>2</v>
      </c>
      <c r="G2244" s="23" t="s">
        <v>2</v>
      </c>
      <c r="H2244" s="29"/>
    </row>
    <row r="2245" spans="1:8" ht="24" x14ac:dyDescent="0.25">
      <c r="A2245" s="23" t="s">
        <v>2706</v>
      </c>
      <c r="B2245" s="23" t="s">
        <v>2</v>
      </c>
      <c r="C2245" s="29"/>
      <c r="D2245" s="29"/>
      <c r="E2245" s="29"/>
      <c r="F2245" s="29"/>
      <c r="G2245" s="29"/>
      <c r="H2245" s="29"/>
    </row>
    <row r="2246" spans="1:8" x14ac:dyDescent="0.25">
      <c r="A2246" s="23" t="s">
        <v>2707</v>
      </c>
      <c r="B2246" s="23" t="s">
        <v>2</v>
      </c>
      <c r="C2246" s="29"/>
      <c r="D2246" s="29"/>
      <c r="E2246" s="29"/>
      <c r="F2246" s="29"/>
      <c r="G2246" s="29"/>
      <c r="H2246" s="29"/>
    </row>
    <row r="2247" spans="1:8" x14ac:dyDescent="0.25">
      <c r="A2247" s="30" t="s">
        <v>3051</v>
      </c>
      <c r="B2247" s="30" t="s">
        <v>3052</v>
      </c>
      <c r="C2247" s="31">
        <v>1485311.07</v>
      </c>
      <c r="D2247" s="31">
        <v>769446.01</v>
      </c>
      <c r="E2247" s="31">
        <v>1319963.6200000001</v>
      </c>
      <c r="F2247" s="31">
        <v>1433793</v>
      </c>
      <c r="G2247" s="67">
        <v>1433793</v>
      </c>
      <c r="H2247" s="29" t="s">
        <v>3445</v>
      </c>
    </row>
    <row r="2248" spans="1:8" x14ac:dyDescent="0.25">
      <c r="A2248" s="30" t="s">
        <v>3053</v>
      </c>
      <c r="B2248" s="30" t="s">
        <v>3054</v>
      </c>
      <c r="C2248" s="31">
        <v>42164.87</v>
      </c>
      <c r="D2248" s="31">
        <v>20535.47</v>
      </c>
      <c r="E2248" s="31">
        <v>35409.449999999997</v>
      </c>
      <c r="F2248" s="31">
        <v>40000</v>
      </c>
      <c r="G2248" s="67">
        <v>40000</v>
      </c>
      <c r="H2248" s="29"/>
    </row>
    <row r="2249" spans="1:8" x14ac:dyDescent="0.25">
      <c r="A2249" s="30" t="s">
        <v>3055</v>
      </c>
      <c r="B2249" s="30" t="s">
        <v>3056</v>
      </c>
      <c r="C2249" s="31">
        <v>0</v>
      </c>
      <c r="D2249" s="31">
        <v>0</v>
      </c>
      <c r="E2249" s="31">
        <v>0</v>
      </c>
      <c r="F2249" s="31">
        <v>0</v>
      </c>
      <c r="G2249" s="67">
        <v>0</v>
      </c>
      <c r="H2249" s="29"/>
    </row>
    <row r="2250" spans="1:8" x14ac:dyDescent="0.25">
      <c r="A2250" s="30" t="s">
        <v>3057</v>
      </c>
      <c r="B2250" s="30" t="s">
        <v>3058</v>
      </c>
      <c r="C2250" s="31">
        <v>18900</v>
      </c>
      <c r="D2250" s="31">
        <v>5000</v>
      </c>
      <c r="E2250" s="31">
        <v>7860</v>
      </c>
      <c r="F2250" s="31">
        <v>10000</v>
      </c>
      <c r="G2250" s="67">
        <v>10000</v>
      </c>
      <c r="H2250" s="29"/>
    </row>
    <row r="2251" spans="1:8" x14ac:dyDescent="0.25">
      <c r="A2251" s="30" t="s">
        <v>3059</v>
      </c>
      <c r="B2251" s="30" t="s">
        <v>2989</v>
      </c>
      <c r="C2251" s="31">
        <v>1974.5</v>
      </c>
      <c r="D2251" s="31">
        <v>689.5</v>
      </c>
      <c r="E2251" s="31">
        <v>1189.52</v>
      </c>
      <c r="F2251" s="31">
        <v>3500</v>
      </c>
      <c r="G2251" s="67">
        <v>3500</v>
      </c>
      <c r="H2251" s="29"/>
    </row>
    <row r="2252" spans="1:8" x14ac:dyDescent="0.25">
      <c r="A2252" s="23" t="s">
        <v>2710</v>
      </c>
      <c r="B2252" s="23" t="s">
        <v>2</v>
      </c>
      <c r="C2252" s="32">
        <v>1548350.44</v>
      </c>
      <c r="D2252" s="32">
        <v>795670.98</v>
      </c>
      <c r="E2252" s="32">
        <f>SUM(E2247:E2251)</f>
        <v>1364422.59</v>
      </c>
      <c r="F2252" s="32">
        <f>SUM(F2247:F2251)</f>
        <v>1487293</v>
      </c>
      <c r="G2252" s="32">
        <f>SUM(G2247:G2251)</f>
        <v>1487293</v>
      </c>
      <c r="H2252" s="29"/>
    </row>
    <row r="2253" spans="1:8" x14ac:dyDescent="0.25">
      <c r="A2253" s="23" t="s">
        <v>2</v>
      </c>
      <c r="B2253" s="23" t="s">
        <v>2</v>
      </c>
      <c r="C2253" s="23" t="s">
        <v>2</v>
      </c>
      <c r="D2253" s="23" t="s">
        <v>2</v>
      </c>
      <c r="E2253" s="23"/>
      <c r="F2253" s="23" t="s">
        <v>2</v>
      </c>
      <c r="G2253" s="23" t="s">
        <v>2</v>
      </c>
      <c r="H2253" s="29"/>
    </row>
    <row r="2254" spans="1:8" x14ac:dyDescent="0.25">
      <c r="A2254" s="23" t="s">
        <v>2711</v>
      </c>
      <c r="B2254" s="23" t="s">
        <v>2</v>
      </c>
      <c r="C2254" s="29"/>
      <c r="D2254" s="29"/>
      <c r="E2254" s="29"/>
      <c r="F2254" s="29"/>
      <c r="G2254" s="29"/>
      <c r="H2254" s="29"/>
    </row>
    <row r="2255" spans="1:8" x14ac:dyDescent="0.25">
      <c r="A2255" s="30" t="s">
        <v>3060</v>
      </c>
      <c r="B2255" s="30" t="s">
        <v>3061</v>
      </c>
      <c r="C2255" s="31">
        <v>0</v>
      </c>
      <c r="D2255" s="31">
        <v>0</v>
      </c>
      <c r="E2255" s="31">
        <v>0</v>
      </c>
      <c r="F2255" s="31">
        <v>0</v>
      </c>
      <c r="G2255" s="67">
        <v>0</v>
      </c>
      <c r="H2255" s="29"/>
    </row>
    <row r="2256" spans="1:8" x14ac:dyDescent="0.25">
      <c r="A2256" s="30" t="s">
        <v>3062</v>
      </c>
      <c r="B2256" s="30" t="s">
        <v>3063</v>
      </c>
      <c r="C2256" s="31">
        <v>0</v>
      </c>
      <c r="D2256" s="31">
        <v>0</v>
      </c>
      <c r="E2256" s="31">
        <v>0</v>
      </c>
      <c r="F2256" s="31">
        <v>0</v>
      </c>
      <c r="G2256" s="67">
        <v>0</v>
      </c>
      <c r="H2256" s="29"/>
    </row>
    <row r="2257" spans="1:8" x14ac:dyDescent="0.25">
      <c r="A2257" s="30" t="s">
        <v>3064</v>
      </c>
      <c r="B2257" s="30" t="s">
        <v>3065</v>
      </c>
      <c r="C2257" s="31">
        <v>0</v>
      </c>
      <c r="D2257" s="31">
        <v>2100.13</v>
      </c>
      <c r="E2257" s="31">
        <v>2100.13</v>
      </c>
      <c r="F2257" s="31">
        <v>0</v>
      </c>
      <c r="G2257" s="67">
        <v>0</v>
      </c>
      <c r="H2257" s="29"/>
    </row>
    <row r="2258" spans="1:8" x14ac:dyDescent="0.25">
      <c r="A2258" s="30" t="s">
        <v>3066</v>
      </c>
      <c r="B2258" s="30" t="s">
        <v>3067</v>
      </c>
      <c r="C2258" s="31">
        <v>0</v>
      </c>
      <c r="D2258" s="31">
        <v>8779.18</v>
      </c>
      <c r="E2258" s="31">
        <v>8779.18</v>
      </c>
      <c r="F2258" s="31">
        <v>0</v>
      </c>
      <c r="G2258" s="67">
        <v>0</v>
      </c>
      <c r="H2258" s="29"/>
    </row>
    <row r="2259" spans="1:8" x14ac:dyDescent="0.25">
      <c r="A2259" s="30" t="s">
        <v>3068</v>
      </c>
      <c r="B2259" s="30" t="s">
        <v>3069</v>
      </c>
      <c r="C2259" s="31">
        <v>0</v>
      </c>
      <c r="D2259" s="31">
        <v>0</v>
      </c>
      <c r="E2259" s="31">
        <v>0</v>
      </c>
      <c r="F2259" s="31">
        <v>0</v>
      </c>
      <c r="G2259" s="67">
        <v>0</v>
      </c>
      <c r="H2259" s="29"/>
    </row>
    <row r="2260" spans="1:8" x14ac:dyDescent="0.25">
      <c r="A2260" s="30" t="s">
        <v>3070</v>
      </c>
      <c r="B2260" s="30" t="s">
        <v>3071</v>
      </c>
      <c r="C2260" s="31">
        <v>38717.1</v>
      </c>
      <c r="D2260" s="31">
        <v>74443.09</v>
      </c>
      <c r="E2260" s="31">
        <v>97271.94</v>
      </c>
      <c r="F2260" s="31">
        <v>25000</v>
      </c>
      <c r="G2260" s="67">
        <v>40000</v>
      </c>
      <c r="H2260" s="29"/>
    </row>
    <row r="2261" spans="1:8" x14ac:dyDescent="0.25">
      <c r="A2261" s="30" t="s">
        <v>3072</v>
      </c>
      <c r="B2261" s="30" t="s">
        <v>3073</v>
      </c>
      <c r="C2261" s="31">
        <v>84000</v>
      </c>
      <c r="D2261" s="31">
        <v>29000</v>
      </c>
      <c r="E2261" s="31">
        <v>45500</v>
      </c>
      <c r="F2261" s="31">
        <v>30000</v>
      </c>
      <c r="G2261" s="67">
        <v>40000</v>
      </c>
      <c r="H2261" s="29"/>
    </row>
    <row r="2262" spans="1:8" x14ac:dyDescent="0.25">
      <c r="A2262" s="23" t="s">
        <v>2720</v>
      </c>
      <c r="B2262" s="23" t="s">
        <v>2</v>
      </c>
      <c r="C2262" s="32">
        <v>122717.1</v>
      </c>
      <c r="D2262" s="32">
        <v>114322.4</v>
      </c>
      <c r="E2262" s="32">
        <f>SUM(E2255:E2261)</f>
        <v>153651.25</v>
      </c>
      <c r="F2262" s="32">
        <f>SUM(F2255:F2261)</f>
        <v>55000</v>
      </c>
      <c r="G2262" s="32">
        <f>SUM(G2255:G2261)</f>
        <v>80000</v>
      </c>
      <c r="H2262" s="29"/>
    </row>
    <row r="2263" spans="1:8" x14ac:dyDescent="0.25">
      <c r="A2263" s="23" t="s">
        <v>2</v>
      </c>
      <c r="B2263" s="23" t="s">
        <v>2</v>
      </c>
      <c r="C2263" s="23" t="s">
        <v>2</v>
      </c>
      <c r="D2263" s="23" t="s">
        <v>2</v>
      </c>
      <c r="E2263" s="23"/>
      <c r="F2263" s="23" t="s">
        <v>2</v>
      </c>
      <c r="G2263" s="23" t="s">
        <v>2</v>
      </c>
      <c r="H2263" s="29"/>
    </row>
    <row r="2264" spans="1:8" ht="24" x14ac:dyDescent="0.25">
      <c r="A2264" s="23" t="s">
        <v>2721</v>
      </c>
      <c r="B2264" s="23" t="s">
        <v>2</v>
      </c>
      <c r="C2264" s="32">
        <v>1671067.54</v>
      </c>
      <c r="D2264" s="32">
        <v>909993.38</v>
      </c>
      <c r="E2264" s="32">
        <f>E2252+E2262</f>
        <v>1518073.84</v>
      </c>
      <c r="F2264" s="32">
        <f>F2262+F2252</f>
        <v>1542293</v>
      </c>
      <c r="G2264" s="32">
        <f>G2262+G2252</f>
        <v>1567293</v>
      </c>
      <c r="H2264" s="29"/>
    </row>
    <row r="2265" spans="1:8" x14ac:dyDescent="0.25">
      <c r="A2265" s="23" t="s">
        <v>2</v>
      </c>
      <c r="B2265" s="23" t="s">
        <v>2</v>
      </c>
      <c r="C2265" s="23" t="s">
        <v>2</v>
      </c>
      <c r="D2265" s="23" t="s">
        <v>2</v>
      </c>
      <c r="E2265" s="23"/>
      <c r="F2265" s="23" t="s">
        <v>2</v>
      </c>
      <c r="G2265" s="23" t="s">
        <v>2</v>
      </c>
      <c r="H2265" s="29"/>
    </row>
    <row r="2266" spans="1:8" x14ac:dyDescent="0.25">
      <c r="A2266" s="30" t="s">
        <v>3074</v>
      </c>
      <c r="B2266" s="30" t="s">
        <v>2584</v>
      </c>
      <c r="C2266" s="31">
        <v>791.09</v>
      </c>
      <c r="D2266" s="31">
        <v>2736.83</v>
      </c>
      <c r="E2266" s="31">
        <v>3797.13</v>
      </c>
      <c r="F2266" s="31">
        <v>0</v>
      </c>
      <c r="G2266" s="31">
        <v>0</v>
      </c>
      <c r="H2266" s="29"/>
    </row>
    <row r="2267" spans="1:8" x14ac:dyDescent="0.25">
      <c r="A2267" s="30" t="s">
        <v>3075</v>
      </c>
      <c r="B2267" s="30" t="s">
        <v>2930</v>
      </c>
      <c r="C2267" s="31">
        <v>132</v>
      </c>
      <c r="D2267" s="31">
        <v>108</v>
      </c>
      <c r="E2267" s="31">
        <v>178.02</v>
      </c>
      <c r="F2267" s="31">
        <v>0</v>
      </c>
      <c r="G2267" s="31">
        <v>0</v>
      </c>
      <c r="H2267" s="29"/>
    </row>
    <row r="2268" spans="1:8" x14ac:dyDescent="0.25">
      <c r="A2268" s="30" t="s">
        <v>3076</v>
      </c>
      <c r="B2268" s="30" t="s">
        <v>2934</v>
      </c>
      <c r="C2268" s="31">
        <v>0</v>
      </c>
      <c r="D2268" s="31">
        <v>314.12</v>
      </c>
      <c r="E2268" s="31">
        <v>2340.2199999999998</v>
      </c>
      <c r="F2268" s="31">
        <v>0</v>
      </c>
      <c r="G2268" s="31">
        <v>0</v>
      </c>
      <c r="H2268" s="29"/>
    </row>
    <row r="2269" spans="1:8" x14ac:dyDescent="0.25">
      <c r="A2269" s="30"/>
      <c r="B2269" s="30"/>
      <c r="C2269" s="31"/>
      <c r="D2269" s="31"/>
      <c r="E2269" s="31"/>
      <c r="F2269" s="31"/>
      <c r="G2269" s="31"/>
      <c r="H2269" s="29"/>
    </row>
    <row r="2270" spans="1:8" x14ac:dyDescent="0.25">
      <c r="A2270" s="23" t="s">
        <v>2175</v>
      </c>
      <c r="B2270" s="23" t="s">
        <v>2</v>
      </c>
      <c r="C2270" s="29"/>
      <c r="D2270" s="29"/>
      <c r="E2270" s="29"/>
      <c r="F2270" s="29"/>
      <c r="G2270" s="29"/>
      <c r="H2270" s="29"/>
    </row>
    <row r="2271" spans="1:8" x14ac:dyDescent="0.25">
      <c r="A2271" s="23" t="s">
        <v>2176</v>
      </c>
      <c r="B2271" s="23" t="s">
        <v>2</v>
      </c>
      <c r="C2271" s="29"/>
      <c r="D2271" s="29"/>
      <c r="E2271" s="29"/>
      <c r="F2271" s="29"/>
      <c r="G2271" s="29"/>
      <c r="H2271" s="29"/>
    </row>
    <row r="2272" spans="1:8" x14ac:dyDescent="0.25">
      <c r="A2272" s="30" t="s">
        <v>3077</v>
      </c>
      <c r="B2272" s="30" t="s">
        <v>2409</v>
      </c>
      <c r="C2272" s="31">
        <v>867.63</v>
      </c>
      <c r="D2272" s="31">
        <v>797.25</v>
      </c>
      <c r="E2272" s="31">
        <v>3405.29</v>
      </c>
      <c r="F2272" s="31">
        <v>0</v>
      </c>
      <c r="G2272" s="31">
        <v>0</v>
      </c>
      <c r="H2272" s="29"/>
    </row>
    <row r="2273" spans="1:8" x14ac:dyDescent="0.25">
      <c r="A2273" s="30" t="s">
        <v>3078</v>
      </c>
      <c r="B2273" s="30" t="s">
        <v>2703</v>
      </c>
      <c r="C2273" s="31">
        <v>0</v>
      </c>
      <c r="D2273" s="31">
        <v>0</v>
      </c>
      <c r="E2273" s="31">
        <v>0</v>
      </c>
      <c r="F2273" s="31">
        <v>0</v>
      </c>
      <c r="G2273" s="31">
        <v>0</v>
      </c>
      <c r="H2273" s="29"/>
    </row>
    <row r="2274" spans="1:8" x14ac:dyDescent="0.25">
      <c r="A2274" s="30" t="s">
        <v>3079</v>
      </c>
      <c r="B2274" s="30" t="s">
        <v>2938</v>
      </c>
      <c r="C2274" s="31">
        <v>1.77</v>
      </c>
      <c r="D2274" s="31">
        <v>0.2</v>
      </c>
      <c r="E2274" s="31">
        <v>0.28000000000000003</v>
      </c>
      <c r="F2274" s="31">
        <v>0</v>
      </c>
      <c r="G2274" s="31">
        <v>0</v>
      </c>
      <c r="H2274" s="29"/>
    </row>
    <row r="2275" spans="1:8" ht="24" x14ac:dyDescent="0.25">
      <c r="A2275" s="23" t="s">
        <v>2179</v>
      </c>
      <c r="B2275" s="23" t="s">
        <v>2</v>
      </c>
      <c r="C2275" s="32">
        <v>869.4</v>
      </c>
      <c r="D2275" s="32">
        <v>797.45</v>
      </c>
      <c r="E2275" s="32">
        <f>SUM(E2272:E2274)</f>
        <v>3405.57</v>
      </c>
      <c r="F2275" s="32">
        <f>SUM(F2272:F2274)</f>
        <v>0</v>
      </c>
      <c r="G2275" s="32">
        <f>SUM(G2272:G2274)</f>
        <v>0</v>
      </c>
      <c r="H2275" s="29"/>
    </row>
    <row r="2276" spans="1:8" x14ac:dyDescent="0.25">
      <c r="A2276" s="23" t="s">
        <v>2</v>
      </c>
      <c r="B2276" s="23" t="s">
        <v>2</v>
      </c>
      <c r="C2276" s="23" t="s">
        <v>2</v>
      </c>
      <c r="D2276" s="23" t="s">
        <v>2</v>
      </c>
      <c r="E2276" s="23"/>
      <c r="F2276" s="23" t="s">
        <v>2</v>
      </c>
      <c r="G2276" s="23" t="s">
        <v>2</v>
      </c>
      <c r="H2276" s="29"/>
    </row>
    <row r="2277" spans="1:8" ht="24" x14ac:dyDescent="0.25">
      <c r="A2277" s="23" t="s">
        <v>2581</v>
      </c>
      <c r="B2277" s="23" t="s">
        <v>2</v>
      </c>
      <c r="C2277" s="29"/>
      <c r="D2277" s="29"/>
      <c r="E2277" s="29"/>
      <c r="F2277" s="29"/>
      <c r="G2277" s="29"/>
      <c r="H2277" s="29"/>
    </row>
    <row r="2278" spans="1:8" x14ac:dyDescent="0.25">
      <c r="A2278" s="30" t="s">
        <v>3080</v>
      </c>
      <c r="B2278" s="30" t="s">
        <v>2942</v>
      </c>
      <c r="C2278" s="31">
        <v>0</v>
      </c>
      <c r="D2278" s="31">
        <v>0</v>
      </c>
      <c r="E2278" s="31">
        <v>0</v>
      </c>
      <c r="F2278" s="31">
        <v>0</v>
      </c>
      <c r="G2278" s="31">
        <v>0</v>
      </c>
      <c r="H2278" s="29"/>
    </row>
    <row r="2279" spans="1:8" ht="24" x14ac:dyDescent="0.25">
      <c r="A2279" s="23" t="s">
        <v>2585</v>
      </c>
      <c r="B2279" s="23" t="s">
        <v>2</v>
      </c>
      <c r="C2279" s="32">
        <v>0</v>
      </c>
      <c r="D2279" s="32">
        <v>0</v>
      </c>
      <c r="E2279" s="32">
        <f>E2278</f>
        <v>0</v>
      </c>
      <c r="F2279" s="32">
        <f>SUM(F2278)</f>
        <v>0</v>
      </c>
      <c r="G2279" s="32">
        <f>SUM(G2278)</f>
        <v>0</v>
      </c>
      <c r="H2279" s="29"/>
    </row>
    <row r="2280" spans="1:8" x14ac:dyDescent="0.25">
      <c r="A2280" s="23" t="s">
        <v>2</v>
      </c>
      <c r="B2280" s="23" t="s">
        <v>2</v>
      </c>
      <c r="C2280" s="23" t="s">
        <v>2</v>
      </c>
      <c r="D2280" s="23" t="s">
        <v>2</v>
      </c>
      <c r="E2280" s="23"/>
      <c r="F2280" s="23" t="s">
        <v>2</v>
      </c>
      <c r="G2280" s="23" t="s">
        <v>2</v>
      </c>
      <c r="H2280" s="29"/>
    </row>
    <row r="2281" spans="1:8" ht="24" x14ac:dyDescent="0.25">
      <c r="A2281" s="23" t="s">
        <v>2180</v>
      </c>
      <c r="B2281" s="23" t="s">
        <v>2</v>
      </c>
      <c r="C2281" s="32">
        <v>869.4</v>
      </c>
      <c r="D2281" s="32">
        <v>797.45</v>
      </c>
      <c r="E2281" s="32">
        <f>E2279+E2275</f>
        <v>3405.57</v>
      </c>
      <c r="F2281" s="32">
        <f>F2279+F2275</f>
        <v>0</v>
      </c>
      <c r="G2281" s="32">
        <f>G2279+G2275</f>
        <v>0</v>
      </c>
      <c r="H2281" s="29"/>
    </row>
    <row r="2282" spans="1:8" x14ac:dyDescent="0.25">
      <c r="A2282" s="23" t="s">
        <v>2</v>
      </c>
      <c r="B2282" s="23" t="s">
        <v>2</v>
      </c>
      <c r="C2282" s="23" t="s">
        <v>2</v>
      </c>
      <c r="D2282" s="23" t="s">
        <v>2</v>
      </c>
      <c r="E2282" s="23"/>
      <c r="F2282" s="23" t="s">
        <v>2</v>
      </c>
      <c r="G2282" s="23" t="s">
        <v>2</v>
      </c>
      <c r="H2282" s="29"/>
    </row>
    <row r="2283" spans="1:8" x14ac:dyDescent="0.25">
      <c r="A2283" s="23" t="s">
        <v>2532</v>
      </c>
      <c r="B2283" s="23" t="s">
        <v>2</v>
      </c>
      <c r="C2283" s="29"/>
      <c r="D2283" s="29"/>
      <c r="E2283" s="29"/>
      <c r="F2283" s="29"/>
      <c r="G2283" s="29"/>
      <c r="H2283" s="29"/>
    </row>
    <row r="2284" spans="1:8" x14ac:dyDescent="0.25">
      <c r="A2284" s="30" t="s">
        <v>3081</v>
      </c>
      <c r="B2284" s="30" t="s">
        <v>3082</v>
      </c>
      <c r="C2284" s="31">
        <v>0</v>
      </c>
      <c r="D2284" s="31">
        <v>0</v>
      </c>
      <c r="E2284" s="31">
        <v>0</v>
      </c>
      <c r="F2284" s="31">
        <v>0</v>
      </c>
      <c r="G2284" s="31">
        <v>0</v>
      </c>
      <c r="H2284" s="29"/>
    </row>
    <row r="2285" spans="1:8" ht="24" x14ac:dyDescent="0.25">
      <c r="A2285" s="23" t="s">
        <v>2537</v>
      </c>
      <c r="B2285" s="23" t="s">
        <v>2</v>
      </c>
      <c r="C2285" s="32">
        <v>0</v>
      </c>
      <c r="D2285" s="32">
        <v>0</v>
      </c>
      <c r="E2285" s="32">
        <f>E2284</f>
        <v>0</v>
      </c>
      <c r="F2285" s="32">
        <f>SUM(F2284)</f>
        <v>0</v>
      </c>
      <c r="G2285" s="32">
        <f>SUM(G2284)</f>
        <v>0</v>
      </c>
      <c r="H2285" s="29"/>
    </row>
    <row r="2286" spans="1:8" x14ac:dyDescent="0.25">
      <c r="A2286" s="23" t="s">
        <v>2</v>
      </c>
      <c r="B2286" s="23" t="s">
        <v>2</v>
      </c>
      <c r="C2286" s="23" t="s">
        <v>2</v>
      </c>
      <c r="D2286" s="23" t="s">
        <v>2</v>
      </c>
      <c r="E2286" s="23"/>
      <c r="F2286" s="23" t="s">
        <v>2</v>
      </c>
      <c r="G2286" s="23" t="s">
        <v>2</v>
      </c>
      <c r="H2286" s="29"/>
    </row>
    <row r="2287" spans="1:8" ht="24" x14ac:dyDescent="0.25">
      <c r="A2287" s="23" t="s">
        <v>2948</v>
      </c>
      <c r="B2287" s="23" t="s">
        <v>2</v>
      </c>
      <c r="C2287" s="29"/>
      <c r="D2287" s="29"/>
      <c r="E2287" s="29"/>
      <c r="F2287" s="29"/>
      <c r="G2287" s="29"/>
      <c r="H2287" s="29"/>
    </row>
    <row r="2288" spans="1:8" x14ac:dyDescent="0.25">
      <c r="A2288" s="30" t="s">
        <v>3083</v>
      </c>
      <c r="B2288" s="30" t="s">
        <v>2539</v>
      </c>
      <c r="C2288" s="31">
        <v>0</v>
      </c>
      <c r="D2288" s="31">
        <v>0</v>
      </c>
      <c r="E2288" s="31">
        <v>0</v>
      </c>
      <c r="F2288" s="31">
        <v>0</v>
      </c>
      <c r="G2288" s="31">
        <v>0</v>
      </c>
      <c r="H2288" s="29"/>
    </row>
    <row r="2289" spans="1:8" ht="24" x14ac:dyDescent="0.25">
      <c r="A2289" s="23" t="s">
        <v>2950</v>
      </c>
      <c r="B2289" s="23" t="s">
        <v>2</v>
      </c>
      <c r="C2289" s="32">
        <v>0</v>
      </c>
      <c r="D2289" s="32">
        <v>0</v>
      </c>
      <c r="E2289" s="32">
        <f>E2288</f>
        <v>0</v>
      </c>
      <c r="F2289" s="32">
        <f>SUM(F2288)</f>
        <v>0</v>
      </c>
      <c r="G2289" s="32">
        <f>SUM(G2288)</f>
        <v>0</v>
      </c>
      <c r="H2289" s="29"/>
    </row>
    <row r="2290" spans="1:8" x14ac:dyDescent="0.25">
      <c r="A2290" s="23" t="s">
        <v>2</v>
      </c>
      <c r="B2290" s="23" t="s">
        <v>2</v>
      </c>
      <c r="C2290" s="23" t="s">
        <v>2</v>
      </c>
      <c r="D2290" s="23" t="s">
        <v>2</v>
      </c>
      <c r="E2290" s="23"/>
      <c r="F2290" s="23" t="s">
        <v>2</v>
      </c>
      <c r="G2290" s="23" t="s">
        <v>2</v>
      </c>
      <c r="H2290" s="29"/>
    </row>
    <row r="2291" spans="1:8" x14ac:dyDescent="0.25">
      <c r="A2291" s="23" t="s">
        <v>2553</v>
      </c>
      <c r="B2291" s="23" t="s">
        <v>2</v>
      </c>
      <c r="C2291" s="29"/>
      <c r="D2291" s="29"/>
      <c r="E2291" s="29"/>
      <c r="F2291" s="29"/>
      <c r="G2291" s="29"/>
      <c r="H2291" s="29"/>
    </row>
    <row r="2292" spans="1:8" ht="24" x14ac:dyDescent="0.25">
      <c r="A2292" s="23" t="s">
        <v>3006</v>
      </c>
      <c r="B2292" s="23" t="s">
        <v>2</v>
      </c>
      <c r="C2292" s="29"/>
      <c r="D2292" s="29"/>
      <c r="E2292" s="29"/>
      <c r="F2292" s="29"/>
      <c r="G2292" s="29"/>
      <c r="H2292" s="29"/>
    </row>
    <row r="2293" spans="1:8" x14ac:dyDescent="0.25">
      <c r="A2293" s="30" t="s">
        <v>3084</v>
      </c>
      <c r="B2293" s="30" t="s">
        <v>2961</v>
      </c>
      <c r="C2293" s="31">
        <v>0</v>
      </c>
      <c r="D2293" s="31">
        <v>0</v>
      </c>
      <c r="E2293" s="31">
        <v>0</v>
      </c>
      <c r="F2293" s="31">
        <v>2750000</v>
      </c>
      <c r="G2293" s="31">
        <v>0</v>
      </c>
      <c r="H2293" s="57" t="s">
        <v>3448</v>
      </c>
    </row>
    <row r="2294" spans="1:8" ht="36" x14ac:dyDescent="0.25">
      <c r="A2294" s="23" t="s">
        <v>3011</v>
      </c>
      <c r="B2294" s="23" t="s">
        <v>2</v>
      </c>
      <c r="C2294" s="32">
        <v>0</v>
      </c>
      <c r="D2294" s="32">
        <v>0</v>
      </c>
      <c r="E2294" s="32">
        <f>E2293</f>
        <v>0</v>
      </c>
      <c r="F2294" s="32">
        <f>SUM(F2293)</f>
        <v>2750000</v>
      </c>
      <c r="G2294" s="32">
        <f>SUM(G2293)</f>
        <v>0</v>
      </c>
      <c r="H2294" s="29"/>
    </row>
    <row r="2295" spans="1:8" x14ac:dyDescent="0.25">
      <c r="A2295" s="23" t="s">
        <v>2</v>
      </c>
      <c r="B2295" s="23" t="s">
        <v>2</v>
      </c>
      <c r="C2295" s="23" t="s">
        <v>2</v>
      </c>
      <c r="D2295" s="23" t="s">
        <v>2</v>
      </c>
      <c r="E2295" s="23"/>
      <c r="F2295" s="23" t="s">
        <v>2</v>
      </c>
      <c r="G2295" s="23" t="s">
        <v>2</v>
      </c>
      <c r="H2295" s="29"/>
    </row>
    <row r="2296" spans="1:8" x14ac:dyDescent="0.25">
      <c r="A2296" s="23" t="s">
        <v>2724</v>
      </c>
      <c r="B2296" s="23" t="s">
        <v>2</v>
      </c>
      <c r="C2296" s="29"/>
      <c r="D2296" s="29"/>
      <c r="E2296" s="29"/>
      <c r="F2296" s="29"/>
      <c r="G2296" s="29"/>
      <c r="H2296" s="29"/>
    </row>
    <row r="2297" spans="1:8" x14ac:dyDescent="0.25">
      <c r="A2297" s="30" t="s">
        <v>3085</v>
      </c>
      <c r="B2297" s="30" t="s">
        <v>2965</v>
      </c>
      <c r="C2297" s="31">
        <v>0</v>
      </c>
      <c r="D2297" s="31">
        <v>0</v>
      </c>
      <c r="E2297" s="31">
        <v>0</v>
      </c>
      <c r="F2297" s="31">
        <v>0</v>
      </c>
      <c r="G2297" s="58">
        <v>0</v>
      </c>
      <c r="H2297" s="29" t="s">
        <v>3447</v>
      </c>
    </row>
    <row r="2298" spans="1:8" x14ac:dyDescent="0.25">
      <c r="A2298" s="30" t="s">
        <v>3086</v>
      </c>
      <c r="B2298" s="30" t="s">
        <v>3087</v>
      </c>
      <c r="C2298" s="31">
        <v>0</v>
      </c>
      <c r="D2298" s="31">
        <v>0</v>
      </c>
      <c r="E2298" s="31">
        <v>0</v>
      </c>
      <c r="F2298" s="31">
        <v>0</v>
      </c>
      <c r="G2298" s="58">
        <v>0</v>
      </c>
      <c r="H2298" s="29"/>
    </row>
    <row r="2299" spans="1:8" x14ac:dyDescent="0.25">
      <c r="A2299" s="23" t="s">
        <v>2725</v>
      </c>
      <c r="B2299" s="23" t="s">
        <v>2</v>
      </c>
      <c r="C2299" s="32">
        <v>0</v>
      </c>
      <c r="D2299" s="32">
        <v>0</v>
      </c>
      <c r="E2299" s="32">
        <f>E2297+E2298</f>
        <v>0</v>
      </c>
      <c r="F2299" s="32">
        <f>SUM(F2297:F2298)</f>
        <v>0</v>
      </c>
      <c r="G2299" s="32">
        <f>SUM(G2297:G2298)</f>
        <v>0</v>
      </c>
      <c r="H2299" s="29"/>
    </row>
    <row r="2300" spans="1:8" x14ac:dyDescent="0.25">
      <c r="A2300" s="23" t="s">
        <v>2</v>
      </c>
      <c r="B2300" s="23" t="s">
        <v>2</v>
      </c>
      <c r="C2300" s="23" t="s">
        <v>2</v>
      </c>
      <c r="D2300" s="23" t="s">
        <v>2</v>
      </c>
      <c r="E2300" s="23"/>
      <c r="F2300" s="23" t="s">
        <v>2</v>
      </c>
      <c r="G2300" s="23" t="s">
        <v>2</v>
      </c>
      <c r="H2300" s="29"/>
    </row>
    <row r="2301" spans="1:8" ht="24" x14ac:dyDescent="0.25">
      <c r="A2301" s="23" t="s">
        <v>2556</v>
      </c>
      <c r="B2301" s="23" t="s">
        <v>2</v>
      </c>
      <c r="C2301" s="32">
        <v>0</v>
      </c>
      <c r="D2301" s="32">
        <v>0</v>
      </c>
      <c r="E2301" s="32">
        <v>0</v>
      </c>
      <c r="F2301" s="32">
        <f>F2299+F2294</f>
        <v>2750000</v>
      </c>
      <c r="G2301" s="32">
        <f>G2299+G2294</f>
        <v>0</v>
      </c>
      <c r="H2301" s="29"/>
    </row>
    <row r="2302" spans="1:8" x14ac:dyDescent="0.25">
      <c r="A2302" s="23" t="s">
        <v>2</v>
      </c>
      <c r="B2302" s="23" t="s">
        <v>2</v>
      </c>
      <c r="C2302" s="23" t="s">
        <v>2</v>
      </c>
      <c r="D2302" s="23" t="s">
        <v>2</v>
      </c>
      <c r="E2302" s="23"/>
      <c r="F2302" s="23" t="s">
        <v>2</v>
      </c>
      <c r="G2302" s="23" t="s">
        <v>2</v>
      </c>
      <c r="H2302" s="29"/>
    </row>
    <row r="2303" spans="1:8" x14ac:dyDescent="0.25">
      <c r="A2303" s="23" t="s">
        <v>1827</v>
      </c>
      <c r="B2303" s="23" t="s">
        <v>2</v>
      </c>
      <c r="C2303" s="32">
        <v>1802659.18</v>
      </c>
      <c r="D2303" s="32">
        <v>934487.59</v>
      </c>
      <c r="E2303" s="32">
        <f>E2243+E2264+E2266+E2267+E2268+E2281</f>
        <v>2541420.3400000003</v>
      </c>
      <c r="F2303" s="32">
        <f>F2301+F2289+F2285+F2281+SUM(F2266:F2268)+F2264+F2243</f>
        <v>6714228</v>
      </c>
      <c r="G2303" s="32">
        <f>G2301+G2289+G2285+G2281+SUM(G2266:G2268)+G2264+G2243</f>
        <v>3989228</v>
      </c>
      <c r="H2303" s="29"/>
    </row>
    <row r="2304" spans="1:8" x14ac:dyDescent="0.25">
      <c r="A2304" s="1" t="s">
        <v>740</v>
      </c>
      <c r="B2304" s="1" t="s">
        <v>2</v>
      </c>
      <c r="C2304" s="1" t="s">
        <v>2</v>
      </c>
      <c r="D2304" s="1" t="s">
        <v>2</v>
      </c>
      <c r="E2304" s="1"/>
      <c r="F2304" s="1" t="s">
        <v>2</v>
      </c>
      <c r="G2304" s="1" t="s">
        <v>2</v>
      </c>
    </row>
    <row r="2305" spans="1:7" ht="15" customHeight="1" x14ac:dyDescent="0.25">
      <c r="A2305" s="1" t="s">
        <v>1699</v>
      </c>
      <c r="B2305" s="1" t="s">
        <v>2</v>
      </c>
    </row>
    <row r="2306" spans="1:7" x14ac:dyDescent="0.25">
      <c r="A2306" s="1" t="s">
        <v>1700</v>
      </c>
      <c r="B2306" s="1" t="s">
        <v>2</v>
      </c>
    </row>
    <row r="2307" spans="1:7" ht="15" customHeight="1" x14ac:dyDescent="0.25">
      <c r="A2307" s="2" t="s">
        <v>1701</v>
      </c>
      <c r="B2307" s="2" t="s">
        <v>108</v>
      </c>
      <c r="C2307" s="3">
        <v>211745.82</v>
      </c>
      <c r="D2307" s="3">
        <v>71111.149999999994</v>
      </c>
      <c r="E2307" s="3">
        <v>131176.92000000001</v>
      </c>
      <c r="F2307" s="3">
        <v>212817.42</v>
      </c>
      <c r="G2307" s="5">
        <f t="shared" ref="G2307:G2314" si="62">F2307*1.055</f>
        <v>224522.3781</v>
      </c>
    </row>
    <row r="2308" spans="1:7" ht="15" customHeight="1" x14ac:dyDescent="0.25">
      <c r="A2308" s="2" t="s">
        <v>1702</v>
      </c>
      <c r="B2308" s="2" t="s">
        <v>1703</v>
      </c>
      <c r="C2308" s="3">
        <v>4639.37</v>
      </c>
      <c r="D2308" s="3">
        <v>970.08</v>
      </c>
      <c r="E2308" s="3">
        <v>6457.14</v>
      </c>
      <c r="F2308" s="3">
        <v>11575.08</v>
      </c>
      <c r="G2308" s="5">
        <f t="shared" si="62"/>
        <v>12211.7094</v>
      </c>
    </row>
    <row r="2309" spans="1:7" ht="15" customHeight="1" x14ac:dyDescent="0.25">
      <c r="A2309" s="2" t="s">
        <v>1704</v>
      </c>
      <c r="B2309" s="2" t="s">
        <v>1705</v>
      </c>
      <c r="C2309" s="3">
        <v>147316.26999999999</v>
      </c>
      <c r="D2309" s="3">
        <v>70882.61</v>
      </c>
      <c r="E2309" s="3">
        <v>123263.57</v>
      </c>
      <c r="F2309" s="3">
        <v>156261.23000000001</v>
      </c>
      <c r="G2309" s="5">
        <f t="shared" si="62"/>
        <v>164855.59765000001</v>
      </c>
    </row>
    <row r="2310" spans="1:7" ht="15" customHeight="1" x14ac:dyDescent="0.25">
      <c r="A2310" s="2" t="s">
        <v>1706</v>
      </c>
      <c r="B2310" s="2" t="s">
        <v>786</v>
      </c>
      <c r="C2310" s="3">
        <v>16545.990000000002</v>
      </c>
      <c r="D2310" s="3">
        <v>99.92</v>
      </c>
      <c r="E2310" s="3">
        <v>247.29</v>
      </c>
      <c r="F2310" s="3">
        <v>1493.92</v>
      </c>
      <c r="G2310" s="5">
        <f t="shared" si="62"/>
        <v>1576.0855999999999</v>
      </c>
    </row>
    <row r="2311" spans="1:7" ht="15" customHeight="1" x14ac:dyDescent="0.25">
      <c r="A2311" s="2" t="s">
        <v>1707</v>
      </c>
      <c r="B2311" s="2" t="s">
        <v>29</v>
      </c>
      <c r="C2311" s="3">
        <v>73494.14</v>
      </c>
      <c r="D2311" s="3">
        <v>28846.25</v>
      </c>
      <c r="E2311" s="3">
        <v>51387.51</v>
      </c>
      <c r="F2311" s="3">
        <v>80055.179999999993</v>
      </c>
      <c r="G2311" s="5">
        <f t="shared" si="62"/>
        <v>84458.214899999992</v>
      </c>
    </row>
    <row r="2312" spans="1:7" ht="15" customHeight="1" x14ac:dyDescent="0.25">
      <c r="A2312" s="2" t="s">
        <v>1708</v>
      </c>
      <c r="B2312" s="2" t="s">
        <v>128</v>
      </c>
      <c r="C2312" s="3">
        <v>5158.3599999999997</v>
      </c>
      <c r="D2312" s="3">
        <v>1271.03</v>
      </c>
      <c r="E2312" s="3">
        <v>2564.8000000000002</v>
      </c>
      <c r="F2312" s="3">
        <v>5438.68</v>
      </c>
      <c r="G2312" s="5">
        <f t="shared" si="62"/>
        <v>5737.8073999999997</v>
      </c>
    </row>
    <row r="2313" spans="1:7" ht="15" customHeight="1" x14ac:dyDescent="0.25">
      <c r="A2313" s="2" t="s">
        <v>1709</v>
      </c>
      <c r="B2313" s="2" t="s">
        <v>33</v>
      </c>
      <c r="C2313" s="3">
        <v>45345.120000000003</v>
      </c>
      <c r="D2313" s="3">
        <v>15980.9</v>
      </c>
      <c r="E2313" s="3">
        <v>28773.79</v>
      </c>
      <c r="F2313" s="3">
        <v>42372.59</v>
      </c>
      <c r="G2313" s="5">
        <f t="shared" si="62"/>
        <v>44703.082449999994</v>
      </c>
    </row>
    <row r="2314" spans="1:7" x14ac:dyDescent="0.25">
      <c r="A2314" s="2" t="s">
        <v>1710</v>
      </c>
      <c r="B2314" s="2" t="s">
        <v>113</v>
      </c>
      <c r="C2314" s="3">
        <v>27433.17</v>
      </c>
      <c r="D2314" s="3">
        <v>10769.62</v>
      </c>
      <c r="E2314" s="3">
        <v>19665.36</v>
      </c>
      <c r="F2314" s="3">
        <v>29120.01</v>
      </c>
      <c r="G2314" s="5">
        <f t="shared" si="62"/>
        <v>30721.610549999998</v>
      </c>
    </row>
    <row r="2315" spans="1:7" ht="15" customHeight="1" x14ac:dyDescent="0.25">
      <c r="A2315" s="2" t="s">
        <v>1711</v>
      </c>
      <c r="B2315" s="2" t="s">
        <v>13</v>
      </c>
      <c r="C2315" s="3">
        <v>558.33000000000004</v>
      </c>
      <c r="D2315" s="3">
        <v>306.02999999999997</v>
      </c>
      <c r="E2315" s="3">
        <v>555.58000000000004</v>
      </c>
      <c r="F2315" s="3">
        <v>561.76</v>
      </c>
      <c r="G2315" s="5">
        <f>F2315*1.055</f>
        <v>592.65679999999998</v>
      </c>
    </row>
    <row r="2316" spans="1:7" ht="15" customHeight="1" x14ac:dyDescent="0.25">
      <c r="A2316" s="2" t="s">
        <v>1712</v>
      </c>
      <c r="B2316" s="2" t="s">
        <v>577</v>
      </c>
      <c r="C2316" s="3">
        <v>327.73</v>
      </c>
      <c r="D2316" s="3">
        <v>2.0099999999999998</v>
      </c>
      <c r="E2316" s="3">
        <v>3.63</v>
      </c>
      <c r="F2316" s="3">
        <v>39.450000000000003</v>
      </c>
      <c r="G2316" s="5">
        <f t="shared" ref="G2316:G2318" si="63">F2316*1.055</f>
        <v>41.619750000000003</v>
      </c>
    </row>
    <row r="2317" spans="1:7" ht="15" customHeight="1" x14ac:dyDescent="0.25">
      <c r="A2317" s="2" t="s">
        <v>1713</v>
      </c>
      <c r="B2317" s="2" t="s">
        <v>579</v>
      </c>
      <c r="C2317" s="3">
        <v>1869.94</v>
      </c>
      <c r="D2317" s="3">
        <v>11.7</v>
      </c>
      <c r="E2317" s="3">
        <v>28.47</v>
      </c>
      <c r="F2317" s="3">
        <v>177.13</v>
      </c>
      <c r="G2317" s="5">
        <f t="shared" si="63"/>
        <v>186.87214999999998</v>
      </c>
    </row>
    <row r="2318" spans="1:7" ht="15" customHeight="1" x14ac:dyDescent="0.25">
      <c r="A2318" s="2" t="s">
        <v>1714</v>
      </c>
      <c r="B2318" s="2" t="s">
        <v>581</v>
      </c>
      <c r="C2318" s="3">
        <v>1245.48</v>
      </c>
      <c r="D2318" s="3">
        <v>7.55</v>
      </c>
      <c r="E2318" s="3">
        <v>18.66</v>
      </c>
      <c r="F2318" s="3">
        <v>114.28</v>
      </c>
      <c r="G2318" s="5">
        <f t="shared" si="63"/>
        <v>120.5654</v>
      </c>
    </row>
    <row r="2319" spans="1:7" x14ac:dyDescent="0.25">
      <c r="A2319" s="2" t="s">
        <v>1715</v>
      </c>
      <c r="B2319" s="2" t="s">
        <v>1716</v>
      </c>
      <c r="C2319" s="3">
        <v>393.62</v>
      </c>
      <c r="D2319" s="3">
        <v>112.4</v>
      </c>
      <c r="E2319" s="3">
        <v>123.59</v>
      </c>
      <c r="F2319" s="3">
        <v>1109.48</v>
      </c>
      <c r="G2319" s="5">
        <v>750</v>
      </c>
    </row>
    <row r="2320" spans="1:7" ht="15" customHeight="1" x14ac:dyDescent="0.25">
      <c r="A2320" s="2" t="s">
        <v>1717</v>
      </c>
      <c r="B2320" s="2" t="s">
        <v>585</v>
      </c>
      <c r="C2320" s="3">
        <v>630</v>
      </c>
      <c r="D2320" s="3">
        <v>0</v>
      </c>
      <c r="E2320" s="3">
        <v>0</v>
      </c>
      <c r="F2320" s="3">
        <v>35</v>
      </c>
      <c r="G2320" s="5">
        <v>100</v>
      </c>
    </row>
    <row r="2321" spans="1:7" ht="15" customHeight="1" x14ac:dyDescent="0.25">
      <c r="A2321" s="2" t="s">
        <v>1718</v>
      </c>
      <c r="B2321" s="2" t="s">
        <v>37</v>
      </c>
      <c r="C2321" s="3">
        <v>214.84</v>
      </c>
      <c r="D2321" s="3">
        <v>159.54</v>
      </c>
      <c r="E2321" s="3">
        <v>260.02</v>
      </c>
      <c r="F2321" s="3">
        <v>500</v>
      </c>
      <c r="G2321" s="5">
        <v>500</v>
      </c>
    </row>
    <row r="2322" spans="1:7" ht="15" customHeight="1" x14ac:dyDescent="0.25">
      <c r="A2322" s="2" t="s">
        <v>1719</v>
      </c>
      <c r="B2322" s="2" t="s">
        <v>1720</v>
      </c>
      <c r="C2322" s="3">
        <v>10715.51</v>
      </c>
      <c r="D2322" s="3">
        <v>3026.54</v>
      </c>
      <c r="E2322" s="3">
        <v>8185.04</v>
      </c>
      <c r="F2322" s="3">
        <v>5000</v>
      </c>
      <c r="G2322" s="5">
        <v>5500</v>
      </c>
    </row>
    <row r="2323" spans="1:7" ht="15" customHeight="1" x14ac:dyDescent="0.25">
      <c r="A2323" s="2" t="s">
        <v>1721</v>
      </c>
      <c r="B2323" s="2" t="s">
        <v>1722</v>
      </c>
      <c r="C2323" s="3">
        <v>4469.12</v>
      </c>
      <c r="D2323" s="3">
        <v>0</v>
      </c>
      <c r="E2323" s="3">
        <v>0</v>
      </c>
      <c r="F2323" s="3">
        <v>5000</v>
      </c>
      <c r="G2323" s="5">
        <v>5500</v>
      </c>
    </row>
    <row r="2324" spans="1:7" ht="15" customHeight="1" x14ac:dyDescent="0.25">
      <c r="A2324" s="2" t="s">
        <v>1723</v>
      </c>
      <c r="B2324" s="2" t="s">
        <v>229</v>
      </c>
      <c r="C2324" s="3">
        <v>755.9</v>
      </c>
      <c r="D2324" s="3">
        <v>530.02</v>
      </c>
      <c r="E2324" s="3">
        <v>1495.28</v>
      </c>
      <c r="F2324" s="3">
        <v>2000</v>
      </c>
      <c r="G2324" s="5">
        <v>2000</v>
      </c>
    </row>
    <row r="2325" spans="1:7" ht="15" customHeight="1" x14ac:dyDescent="0.25">
      <c r="A2325" s="2" t="s">
        <v>1724</v>
      </c>
      <c r="B2325" s="2" t="s">
        <v>940</v>
      </c>
      <c r="C2325" s="3">
        <v>706.83</v>
      </c>
      <c r="D2325" s="3">
        <v>96.73</v>
      </c>
      <c r="E2325" s="3">
        <v>253.8</v>
      </c>
      <c r="F2325" s="3">
        <v>1200</v>
      </c>
      <c r="G2325" s="5">
        <v>1500</v>
      </c>
    </row>
    <row r="2326" spans="1:7" ht="15" customHeight="1" x14ac:dyDescent="0.25">
      <c r="A2326" s="2" t="s">
        <v>1725</v>
      </c>
      <c r="B2326" s="2" t="s">
        <v>907</v>
      </c>
      <c r="C2326" s="3">
        <v>98251.95</v>
      </c>
      <c r="D2326" s="3">
        <v>83379.05</v>
      </c>
      <c r="E2326" s="3">
        <v>83379.05</v>
      </c>
      <c r="F2326" s="3">
        <v>83379.05</v>
      </c>
      <c r="G2326" s="5">
        <v>98251.95</v>
      </c>
    </row>
    <row r="2327" spans="1:7" ht="15" customHeight="1" x14ac:dyDescent="0.25">
      <c r="A2327" s="2" t="s">
        <v>1726</v>
      </c>
      <c r="B2327" s="2" t="s">
        <v>43</v>
      </c>
      <c r="C2327" s="3">
        <v>51207.72</v>
      </c>
      <c r="D2327" s="3">
        <v>40545.230000000003</v>
      </c>
      <c r="E2327" s="3">
        <v>40545.230000000003</v>
      </c>
      <c r="F2327" s="3">
        <v>40545.230000000003</v>
      </c>
      <c r="G2327" s="5">
        <v>51207.72</v>
      </c>
    </row>
    <row r="2328" spans="1:7" x14ac:dyDescent="0.25">
      <c r="A2328" s="2" t="s">
        <v>1727</v>
      </c>
      <c r="B2328" s="2" t="s">
        <v>1728</v>
      </c>
      <c r="C2328" s="3">
        <v>17868.27</v>
      </c>
      <c r="D2328" s="3">
        <v>9193.59</v>
      </c>
      <c r="E2328" s="3">
        <v>9193.59</v>
      </c>
      <c r="F2328" s="3">
        <v>9193.59</v>
      </c>
      <c r="G2328" s="5">
        <v>11500</v>
      </c>
    </row>
    <row r="2329" spans="1:7" ht="15" customHeight="1" x14ac:dyDescent="0.25">
      <c r="A2329" s="2" t="s">
        <v>1729</v>
      </c>
      <c r="B2329" s="2" t="s">
        <v>1730</v>
      </c>
      <c r="C2329" s="3">
        <v>13287.79</v>
      </c>
      <c r="D2329" s="3">
        <v>11148.01</v>
      </c>
      <c r="E2329" s="3">
        <v>19168.27</v>
      </c>
      <c r="F2329" s="3">
        <v>115000</v>
      </c>
      <c r="G2329" s="5">
        <v>120000</v>
      </c>
    </row>
    <row r="2330" spans="1:7" x14ac:dyDescent="0.25">
      <c r="A2330" s="2" t="s">
        <v>1731</v>
      </c>
      <c r="B2330" s="2" t="s">
        <v>1732</v>
      </c>
      <c r="C2330" s="3">
        <v>0</v>
      </c>
      <c r="D2330" s="3">
        <v>0</v>
      </c>
      <c r="E2330" s="3">
        <v>0</v>
      </c>
      <c r="F2330" s="3">
        <v>0</v>
      </c>
      <c r="G2330" s="5">
        <v>0</v>
      </c>
    </row>
    <row r="2331" spans="1:7" ht="15" customHeight="1" x14ac:dyDescent="0.25">
      <c r="A2331" s="2" t="s">
        <v>1733</v>
      </c>
      <c r="B2331" s="2" t="s">
        <v>1734</v>
      </c>
      <c r="C2331" s="3">
        <v>0</v>
      </c>
      <c r="D2331" s="3">
        <v>0</v>
      </c>
      <c r="E2331" s="3">
        <v>0</v>
      </c>
      <c r="F2331" s="3">
        <v>0</v>
      </c>
      <c r="G2331" s="5">
        <v>0</v>
      </c>
    </row>
    <row r="2332" spans="1:7" x14ac:dyDescent="0.25">
      <c r="A2332" s="2" t="s">
        <v>1735</v>
      </c>
      <c r="B2332" s="2" t="s">
        <v>1736</v>
      </c>
      <c r="C2332" s="3">
        <v>5159.1499999999996</v>
      </c>
      <c r="D2332" s="3">
        <v>892.16</v>
      </c>
      <c r="E2332" s="3">
        <v>3174.8</v>
      </c>
      <c r="F2332" s="3">
        <v>55000</v>
      </c>
      <c r="G2332" s="5">
        <v>55000</v>
      </c>
    </row>
    <row r="2333" spans="1:7" x14ac:dyDescent="0.25">
      <c r="A2333" s="2" t="s">
        <v>1737</v>
      </c>
      <c r="B2333" s="2" t="s">
        <v>1738</v>
      </c>
      <c r="C2333" s="3">
        <v>0</v>
      </c>
      <c r="D2333" s="3">
        <v>0</v>
      </c>
      <c r="E2333" s="3">
        <v>0</v>
      </c>
      <c r="F2333" s="3">
        <v>0</v>
      </c>
      <c r="G2333" s="5">
        <v>0</v>
      </c>
    </row>
    <row r="2334" spans="1:7" ht="15" customHeight="1" x14ac:dyDescent="0.25">
      <c r="A2334" s="2" t="s">
        <v>1739</v>
      </c>
      <c r="B2334" s="2" t="s">
        <v>604</v>
      </c>
      <c r="C2334" s="3">
        <v>0</v>
      </c>
      <c r="D2334" s="3">
        <v>0</v>
      </c>
      <c r="E2334" s="3">
        <v>0</v>
      </c>
      <c r="F2334" s="3">
        <v>0</v>
      </c>
      <c r="G2334" s="5">
        <v>0</v>
      </c>
    </row>
    <row r="2335" spans="1:7" ht="15" customHeight="1" x14ac:dyDescent="0.25">
      <c r="A2335" s="2" t="s">
        <v>1740</v>
      </c>
      <c r="B2335" s="2" t="s">
        <v>1741</v>
      </c>
      <c r="C2335" s="3">
        <v>0</v>
      </c>
      <c r="D2335" s="3">
        <v>0</v>
      </c>
      <c r="E2335" s="3">
        <v>0</v>
      </c>
      <c r="F2335" s="3">
        <v>0</v>
      </c>
      <c r="G2335" s="5">
        <v>0</v>
      </c>
    </row>
    <row r="2336" spans="1:7" x14ac:dyDescent="0.25">
      <c r="A2336" s="2" t="s">
        <v>1742</v>
      </c>
      <c r="B2336" s="2" t="s">
        <v>1743</v>
      </c>
      <c r="C2336" s="3">
        <v>19976.41</v>
      </c>
      <c r="D2336" s="3">
        <v>938.94</v>
      </c>
      <c r="E2336" s="3">
        <v>3259.64</v>
      </c>
      <c r="F2336" s="3">
        <v>30000</v>
      </c>
      <c r="G2336" s="5">
        <v>30000</v>
      </c>
    </row>
    <row r="2337" spans="1:8" ht="24" x14ac:dyDescent="0.25">
      <c r="A2337" s="2" t="s">
        <v>1744</v>
      </c>
      <c r="B2337" s="2" t="s">
        <v>1745</v>
      </c>
      <c r="C2337" s="3">
        <v>-19976.41</v>
      </c>
      <c r="D2337" s="3">
        <v>0</v>
      </c>
      <c r="E2337" s="3">
        <v>0</v>
      </c>
      <c r="F2337" s="3">
        <v>-30000</v>
      </c>
      <c r="G2337" s="5">
        <v>-30000</v>
      </c>
    </row>
    <row r="2338" spans="1:8" x14ac:dyDescent="0.25">
      <c r="A2338" s="2" t="s">
        <v>1746</v>
      </c>
      <c r="B2338" s="2" t="s">
        <v>1747</v>
      </c>
      <c r="C2338" s="3">
        <v>80579.81</v>
      </c>
      <c r="D2338" s="3">
        <v>55028.54</v>
      </c>
      <c r="E2338" s="3">
        <v>68797.33</v>
      </c>
      <c r="F2338" s="3">
        <v>180000</v>
      </c>
      <c r="G2338" s="5">
        <v>20000</v>
      </c>
    </row>
    <row r="2339" spans="1:8" ht="15" customHeight="1" x14ac:dyDescent="0.25">
      <c r="A2339" s="2" t="s">
        <v>1748</v>
      </c>
      <c r="B2339" s="2" t="s">
        <v>99</v>
      </c>
      <c r="C2339" s="3">
        <v>4005.72</v>
      </c>
      <c r="D2339" s="3">
        <v>1346.54</v>
      </c>
      <c r="E2339" s="3">
        <v>2546.64</v>
      </c>
      <c r="F2339" s="3">
        <v>3900</v>
      </c>
      <c r="G2339" s="5">
        <v>4200</v>
      </c>
    </row>
    <row r="2340" spans="1:8" ht="15" customHeight="1" x14ac:dyDescent="0.25">
      <c r="A2340" s="2" t="s">
        <v>1749</v>
      </c>
      <c r="B2340" s="2" t="s">
        <v>59</v>
      </c>
      <c r="C2340" s="3">
        <v>28.99</v>
      </c>
      <c r="D2340" s="3">
        <v>169.44</v>
      </c>
      <c r="E2340" s="3">
        <v>230.57</v>
      </c>
      <c r="F2340" s="3">
        <v>500</v>
      </c>
      <c r="G2340" s="5">
        <v>500</v>
      </c>
    </row>
    <row r="2341" spans="1:8" ht="15" customHeight="1" x14ac:dyDescent="0.25">
      <c r="A2341" s="2" t="s">
        <v>1750</v>
      </c>
      <c r="B2341" s="2" t="s">
        <v>17</v>
      </c>
      <c r="C2341" s="3">
        <v>0</v>
      </c>
      <c r="D2341" s="3">
        <v>0</v>
      </c>
      <c r="E2341" s="3">
        <v>0</v>
      </c>
      <c r="F2341" s="3">
        <v>2000</v>
      </c>
      <c r="G2341" s="5">
        <v>2000</v>
      </c>
    </row>
    <row r="2342" spans="1:8" ht="15" customHeight="1" x14ac:dyDescent="0.25">
      <c r="A2342" s="2" t="s">
        <v>1751</v>
      </c>
      <c r="B2342" s="2" t="s">
        <v>144</v>
      </c>
      <c r="C2342" s="3">
        <v>0</v>
      </c>
      <c r="D2342" s="3">
        <v>0</v>
      </c>
      <c r="E2342" s="3">
        <v>0</v>
      </c>
      <c r="F2342" s="3">
        <v>3000</v>
      </c>
      <c r="G2342" s="5">
        <v>3000</v>
      </c>
    </row>
    <row r="2343" spans="1:8" ht="15" customHeight="1" x14ac:dyDescent="0.25">
      <c r="A2343" s="2" t="s">
        <v>1752</v>
      </c>
      <c r="B2343" s="2" t="s">
        <v>1753</v>
      </c>
      <c r="C2343" s="3">
        <v>17093.580000000002</v>
      </c>
      <c r="D2343" s="3">
        <v>13104.19</v>
      </c>
      <c r="E2343" s="3">
        <v>24783.84</v>
      </c>
      <c r="F2343" s="3">
        <v>27000</v>
      </c>
      <c r="G2343" s="5">
        <v>35000</v>
      </c>
    </row>
    <row r="2344" spans="1:8" ht="15" customHeight="1" x14ac:dyDescent="0.25">
      <c r="A2344" s="2" t="s">
        <v>1754</v>
      </c>
      <c r="B2344" s="2" t="s">
        <v>1755</v>
      </c>
      <c r="C2344" s="3">
        <v>6675</v>
      </c>
      <c r="D2344" s="3">
        <v>438.31</v>
      </c>
      <c r="E2344" s="3">
        <v>7227.63</v>
      </c>
      <c r="F2344" s="3">
        <v>20000</v>
      </c>
      <c r="G2344" s="5">
        <v>20000</v>
      </c>
    </row>
    <row r="2345" spans="1:8" ht="15" customHeight="1" x14ac:dyDescent="0.25">
      <c r="A2345" s="2" t="s">
        <v>1756</v>
      </c>
      <c r="B2345" s="2" t="s">
        <v>1757</v>
      </c>
      <c r="C2345" s="3">
        <v>0</v>
      </c>
      <c r="D2345" s="3">
        <v>0</v>
      </c>
      <c r="E2345" s="3">
        <v>195.66</v>
      </c>
      <c r="F2345" s="3">
        <v>250</v>
      </c>
      <c r="G2345" s="5">
        <v>250</v>
      </c>
    </row>
    <row r="2346" spans="1:8" ht="15" customHeight="1" x14ac:dyDescent="0.25">
      <c r="A2346" s="2" t="s">
        <v>1758</v>
      </c>
      <c r="B2346" s="2" t="s">
        <v>1759</v>
      </c>
      <c r="C2346" s="3">
        <v>1892.5</v>
      </c>
      <c r="D2346" s="3">
        <v>0</v>
      </c>
      <c r="E2346" s="3">
        <v>0</v>
      </c>
      <c r="F2346" s="3">
        <v>2500</v>
      </c>
      <c r="G2346" s="5">
        <v>2500</v>
      </c>
    </row>
    <row r="2347" spans="1:8" ht="15" customHeight="1" x14ac:dyDescent="0.25">
      <c r="A2347" s="2" t="s">
        <v>1760</v>
      </c>
      <c r="B2347" s="2" t="s">
        <v>64</v>
      </c>
      <c r="C2347" s="3">
        <v>649.94000000000005</v>
      </c>
      <c r="D2347" s="3">
        <v>592.08000000000004</v>
      </c>
      <c r="E2347" s="3">
        <v>705.39</v>
      </c>
      <c r="F2347" s="3">
        <v>2000</v>
      </c>
      <c r="G2347" s="5">
        <v>2000</v>
      </c>
    </row>
    <row r="2348" spans="1:8" ht="15" customHeight="1" x14ac:dyDescent="0.25">
      <c r="A2348" s="2" t="s">
        <v>1761</v>
      </c>
      <c r="B2348" s="2" t="s">
        <v>1762</v>
      </c>
      <c r="C2348" s="3">
        <v>5435.57</v>
      </c>
      <c r="D2348" s="3">
        <v>2746.94</v>
      </c>
      <c r="E2348" s="3">
        <v>5585.02</v>
      </c>
      <c r="F2348" s="3">
        <v>5700</v>
      </c>
      <c r="G2348" s="5">
        <v>5700</v>
      </c>
    </row>
    <row r="2349" spans="1:8" ht="15" customHeight="1" x14ac:dyDescent="0.25">
      <c r="A2349" s="2" t="s">
        <v>1763</v>
      </c>
      <c r="B2349" s="2" t="s">
        <v>1303</v>
      </c>
      <c r="C2349" s="3">
        <v>25764.9</v>
      </c>
      <c r="D2349" s="3">
        <v>9635.68</v>
      </c>
      <c r="E2349" s="3">
        <v>18904.080000000002</v>
      </c>
      <c r="F2349" s="3">
        <v>20615</v>
      </c>
      <c r="G2349" s="5">
        <v>0</v>
      </c>
      <c r="H2349" t="s">
        <v>3417</v>
      </c>
    </row>
    <row r="2350" spans="1:8" ht="15" customHeight="1" x14ac:dyDescent="0.25">
      <c r="A2350" s="2" t="s">
        <v>1764</v>
      </c>
      <c r="B2350" s="2" t="s">
        <v>1765</v>
      </c>
      <c r="C2350" s="3">
        <v>148258</v>
      </c>
      <c r="D2350" s="3">
        <v>62872.89</v>
      </c>
      <c r="E2350" s="3">
        <v>116643</v>
      </c>
      <c r="F2350" s="3">
        <v>116733</v>
      </c>
      <c r="G2350" s="5">
        <v>0</v>
      </c>
      <c r="H2350" t="s">
        <v>3417</v>
      </c>
    </row>
    <row r="2351" spans="1:8" ht="15" customHeight="1" x14ac:dyDescent="0.25">
      <c r="A2351" s="1" t="s">
        <v>1766</v>
      </c>
      <c r="B2351" s="1" t="s">
        <v>2</v>
      </c>
      <c r="C2351" s="4">
        <v>1029724.43</v>
      </c>
      <c r="D2351" s="4">
        <v>496215.67</v>
      </c>
      <c r="E2351" s="4">
        <f>SUM(E2307:E2350)</f>
        <v>778800.19</v>
      </c>
      <c r="F2351" s="6">
        <f>SUM(F2307:F2350)</f>
        <v>1242187.08</v>
      </c>
      <c r="G2351" s="6">
        <f>SUM(G2307:G2350)</f>
        <v>1016687.8701499999</v>
      </c>
    </row>
    <row r="2352" spans="1:8" x14ac:dyDescent="0.25">
      <c r="A2352" s="1" t="s">
        <v>2</v>
      </c>
      <c r="B2352" s="1" t="s">
        <v>2</v>
      </c>
      <c r="C2352" s="1" t="s">
        <v>2</v>
      </c>
      <c r="D2352" s="1" t="s">
        <v>2</v>
      </c>
      <c r="E2352" s="1"/>
      <c r="F2352" s="1" t="s">
        <v>2</v>
      </c>
      <c r="G2352" s="1" t="s">
        <v>2</v>
      </c>
    </row>
    <row r="2353" spans="1:8" ht="15" customHeight="1" x14ac:dyDescent="0.25">
      <c r="A2353" s="2" t="s">
        <v>1767</v>
      </c>
      <c r="B2353" s="2" t="s">
        <v>1393</v>
      </c>
      <c r="C2353" s="3">
        <v>0</v>
      </c>
      <c r="D2353" s="3">
        <v>0</v>
      </c>
      <c r="E2353" s="3">
        <v>0</v>
      </c>
      <c r="F2353" s="3">
        <v>30000</v>
      </c>
      <c r="G2353" s="5">
        <v>0</v>
      </c>
    </row>
    <row r="2354" spans="1:8" ht="15" customHeight="1" x14ac:dyDescent="0.25">
      <c r="A2354" s="2"/>
      <c r="B2354" s="2"/>
      <c r="C2354" s="3"/>
      <c r="D2354" s="3"/>
      <c r="E2354" s="3"/>
      <c r="F2354" s="3"/>
      <c r="G2354" s="5"/>
    </row>
    <row r="2355" spans="1:8" ht="15" customHeight="1" x14ac:dyDescent="0.25">
      <c r="A2355" s="1" t="s">
        <v>557</v>
      </c>
      <c r="B2355" s="1" t="s">
        <v>2</v>
      </c>
    </row>
    <row r="2356" spans="1:8" ht="15" customHeight="1" x14ac:dyDescent="0.25">
      <c r="A2356" s="2" t="s">
        <v>1768</v>
      </c>
      <c r="B2356" s="2" t="s">
        <v>1769</v>
      </c>
      <c r="C2356" s="3">
        <v>0</v>
      </c>
      <c r="D2356" s="3">
        <v>0</v>
      </c>
      <c r="E2356" s="3">
        <v>0</v>
      </c>
      <c r="F2356" s="3">
        <v>0</v>
      </c>
      <c r="G2356" s="5">
        <v>0</v>
      </c>
    </row>
    <row r="2357" spans="1:8" ht="15" customHeight="1" x14ac:dyDescent="0.25">
      <c r="A2357" s="2" t="s">
        <v>1770</v>
      </c>
      <c r="B2357" s="2" t="s">
        <v>1771</v>
      </c>
      <c r="C2357" s="3">
        <v>0</v>
      </c>
      <c r="D2357" s="3">
        <v>0</v>
      </c>
      <c r="E2357" s="3">
        <v>0</v>
      </c>
      <c r="F2357" s="3">
        <v>0</v>
      </c>
      <c r="G2357" s="5">
        <v>0</v>
      </c>
    </row>
    <row r="2358" spans="1:8" ht="15" customHeight="1" x14ac:dyDescent="0.25">
      <c r="A2358" s="2" t="s">
        <v>1772</v>
      </c>
      <c r="B2358" s="2" t="s">
        <v>1426</v>
      </c>
      <c r="C2358" s="3">
        <v>0</v>
      </c>
      <c r="D2358" s="3">
        <v>0</v>
      </c>
      <c r="E2358" s="3">
        <v>0</v>
      </c>
      <c r="F2358" s="3">
        <v>0</v>
      </c>
      <c r="G2358" s="5">
        <v>0</v>
      </c>
    </row>
    <row r="2359" spans="1:8" ht="15" customHeight="1" x14ac:dyDescent="0.25">
      <c r="A2359" s="2" t="s">
        <v>1773</v>
      </c>
      <c r="B2359" s="2" t="s">
        <v>1774</v>
      </c>
      <c r="C2359" s="3">
        <v>0</v>
      </c>
      <c r="D2359" s="3">
        <v>16112.75</v>
      </c>
      <c r="E2359" s="3">
        <v>44248.11</v>
      </c>
      <c r="F2359" s="3">
        <v>3250000</v>
      </c>
      <c r="G2359" s="5">
        <v>3500000</v>
      </c>
    </row>
    <row r="2360" spans="1:8" ht="15" customHeight="1" x14ac:dyDescent="0.25">
      <c r="A2360" s="2" t="s">
        <v>1775</v>
      </c>
      <c r="B2360" s="2" t="s">
        <v>1776</v>
      </c>
      <c r="C2360" s="3">
        <v>0</v>
      </c>
      <c r="D2360" s="3">
        <v>0</v>
      </c>
      <c r="E2360" s="3">
        <v>0</v>
      </c>
      <c r="F2360" s="3">
        <v>0</v>
      </c>
      <c r="G2360" s="5">
        <v>0</v>
      </c>
    </row>
    <row r="2361" spans="1:8" ht="15" customHeight="1" x14ac:dyDescent="0.25">
      <c r="A2361" s="2" t="s">
        <v>1777</v>
      </c>
      <c r="B2361" s="2" t="s">
        <v>1778</v>
      </c>
      <c r="C2361" s="3">
        <v>0</v>
      </c>
      <c r="D2361" s="3">
        <v>0</v>
      </c>
      <c r="E2361" s="3">
        <v>0</v>
      </c>
      <c r="F2361" s="3">
        <v>180000</v>
      </c>
      <c r="G2361" s="5">
        <v>180000</v>
      </c>
    </row>
    <row r="2362" spans="1:8" ht="15" customHeight="1" x14ac:dyDescent="0.25">
      <c r="A2362" s="2" t="s">
        <v>1779</v>
      </c>
      <c r="B2362" s="2" t="s">
        <v>1432</v>
      </c>
      <c r="C2362" s="3">
        <v>0</v>
      </c>
      <c r="D2362" s="3">
        <v>0</v>
      </c>
      <c r="E2362" s="3">
        <v>0</v>
      </c>
      <c r="F2362" s="3">
        <v>510000</v>
      </c>
      <c r="G2362" s="5">
        <v>500000</v>
      </c>
      <c r="H2362" t="s">
        <v>3446</v>
      </c>
    </row>
    <row r="2363" spans="1:8" x14ac:dyDescent="0.25">
      <c r="A2363" s="2" t="s">
        <v>1780</v>
      </c>
      <c r="B2363" s="2" t="s">
        <v>1781</v>
      </c>
      <c r="C2363" s="3">
        <v>0</v>
      </c>
      <c r="D2363" s="3">
        <v>0</v>
      </c>
      <c r="E2363" s="3">
        <v>0</v>
      </c>
      <c r="F2363" s="3">
        <v>0</v>
      </c>
      <c r="G2363" s="5">
        <v>0</v>
      </c>
    </row>
    <row r="2364" spans="1:8" x14ac:dyDescent="0.25">
      <c r="A2364" s="2" t="s">
        <v>1782</v>
      </c>
      <c r="B2364" s="2" t="s">
        <v>1783</v>
      </c>
      <c r="C2364" s="3">
        <v>0</v>
      </c>
      <c r="D2364" s="3">
        <v>0</v>
      </c>
      <c r="E2364" s="3">
        <v>0</v>
      </c>
      <c r="F2364" s="3">
        <v>0</v>
      </c>
      <c r="G2364" s="5">
        <v>0</v>
      </c>
    </row>
    <row r="2365" spans="1:8" x14ac:dyDescent="0.25">
      <c r="A2365" s="2" t="s">
        <v>1784</v>
      </c>
      <c r="B2365" s="2" t="s">
        <v>1785</v>
      </c>
      <c r="C2365" s="3">
        <v>0</v>
      </c>
      <c r="D2365" s="3">
        <v>0</v>
      </c>
      <c r="E2365" s="3">
        <v>0</v>
      </c>
      <c r="F2365" s="3">
        <v>0</v>
      </c>
      <c r="G2365" s="5">
        <v>0</v>
      </c>
    </row>
    <row r="2366" spans="1:8" x14ac:dyDescent="0.25">
      <c r="A2366" s="2" t="s">
        <v>1786</v>
      </c>
      <c r="B2366" s="2" t="s">
        <v>1787</v>
      </c>
      <c r="C2366" s="3">
        <v>0</v>
      </c>
      <c r="D2366" s="3">
        <v>0</v>
      </c>
      <c r="E2366" s="3">
        <v>0</v>
      </c>
      <c r="F2366" s="3">
        <v>0</v>
      </c>
      <c r="G2366" s="5">
        <v>0</v>
      </c>
    </row>
    <row r="2367" spans="1:8" ht="15" customHeight="1" x14ac:dyDescent="0.25">
      <c r="A2367" s="2" t="s">
        <v>1788</v>
      </c>
      <c r="B2367" s="2" t="s">
        <v>1789</v>
      </c>
      <c r="C2367" s="3">
        <v>0</v>
      </c>
      <c r="D2367" s="3">
        <v>0</v>
      </c>
      <c r="E2367" s="3">
        <v>0</v>
      </c>
      <c r="F2367" s="3">
        <v>0</v>
      </c>
      <c r="G2367" s="5">
        <v>0</v>
      </c>
    </row>
    <row r="2368" spans="1:8" ht="15" customHeight="1" x14ac:dyDescent="0.25">
      <c r="A2368" s="2" t="s">
        <v>1790</v>
      </c>
      <c r="B2368" s="2" t="s">
        <v>1791</v>
      </c>
      <c r="C2368" s="3">
        <v>0</v>
      </c>
      <c r="D2368" s="3">
        <v>0</v>
      </c>
      <c r="E2368" s="3">
        <v>2431.33</v>
      </c>
      <c r="F2368" s="3">
        <v>1250000</v>
      </c>
      <c r="G2368" s="5">
        <v>1250000</v>
      </c>
    </row>
    <row r="2369" spans="1:7" ht="15" customHeight="1" x14ac:dyDescent="0.25">
      <c r="A2369" s="1" t="s">
        <v>560</v>
      </c>
      <c r="B2369" s="1" t="s">
        <v>2</v>
      </c>
      <c r="C2369" s="4">
        <v>0</v>
      </c>
      <c r="D2369" s="4">
        <v>16112.75</v>
      </c>
      <c r="E2369" s="4">
        <f>SUM(E2356:E2368)</f>
        <v>46679.44</v>
      </c>
      <c r="F2369" s="6">
        <f>SUM(F2356:F2368)</f>
        <v>5190000</v>
      </c>
      <c r="G2369" s="6">
        <f>SUM(G2356:G2368)</f>
        <v>5430000</v>
      </c>
    </row>
    <row r="2370" spans="1:7" x14ac:dyDescent="0.25">
      <c r="A2370" s="1" t="s">
        <v>2</v>
      </c>
      <c r="B2370" s="1" t="s">
        <v>2</v>
      </c>
      <c r="C2370" s="1" t="s">
        <v>2</v>
      </c>
      <c r="D2370" s="1" t="s">
        <v>2</v>
      </c>
      <c r="E2370" s="1"/>
      <c r="F2370" s="1" t="s">
        <v>2</v>
      </c>
      <c r="G2370" s="1" t="s">
        <v>2</v>
      </c>
    </row>
    <row r="2371" spans="1:7" ht="15" customHeight="1" x14ac:dyDescent="0.25">
      <c r="A2371" s="2" t="s">
        <v>1792</v>
      </c>
      <c r="B2371" s="2" t="s">
        <v>1793</v>
      </c>
      <c r="C2371" s="3">
        <v>101517.96</v>
      </c>
      <c r="D2371" s="3">
        <v>1122.33</v>
      </c>
      <c r="E2371" s="3">
        <v>4420.82</v>
      </c>
      <c r="F2371" s="3">
        <v>0</v>
      </c>
      <c r="G2371" s="5">
        <v>0</v>
      </c>
    </row>
    <row r="2372" spans="1:7" ht="15" customHeight="1" x14ac:dyDescent="0.25">
      <c r="A2372" s="2" t="s">
        <v>1794</v>
      </c>
      <c r="B2372" s="2" t="s">
        <v>1795</v>
      </c>
      <c r="C2372" s="3">
        <v>0</v>
      </c>
      <c r="D2372" s="3">
        <v>0</v>
      </c>
      <c r="E2372" s="3">
        <v>0</v>
      </c>
      <c r="F2372" s="3">
        <v>0</v>
      </c>
      <c r="G2372" s="5">
        <v>0</v>
      </c>
    </row>
    <row r="2373" spans="1:7" x14ac:dyDescent="0.25">
      <c r="A2373" s="2" t="s">
        <v>1796</v>
      </c>
      <c r="B2373" s="2" t="s">
        <v>1797</v>
      </c>
      <c r="C2373" s="3">
        <v>0</v>
      </c>
      <c r="D2373" s="3">
        <v>0</v>
      </c>
      <c r="E2373" s="3">
        <v>0</v>
      </c>
      <c r="F2373" s="3">
        <v>0</v>
      </c>
      <c r="G2373" s="5">
        <v>0</v>
      </c>
    </row>
    <row r="2374" spans="1:7" x14ac:dyDescent="0.25">
      <c r="A2374" s="2" t="s">
        <v>1798</v>
      </c>
      <c r="B2374" s="2" t="s">
        <v>1799</v>
      </c>
      <c r="C2374" s="3">
        <v>0</v>
      </c>
      <c r="D2374" s="3">
        <v>0</v>
      </c>
      <c r="E2374" s="3">
        <v>0</v>
      </c>
      <c r="F2374" s="3">
        <v>0</v>
      </c>
      <c r="G2374" s="5">
        <v>0</v>
      </c>
    </row>
    <row r="2375" spans="1:7" ht="15" customHeight="1" x14ac:dyDescent="0.25">
      <c r="A2375" s="2" t="s">
        <v>1800</v>
      </c>
      <c r="B2375" s="2" t="s">
        <v>1769</v>
      </c>
      <c r="C2375" s="3">
        <v>13020.76</v>
      </c>
      <c r="D2375" s="3">
        <v>1157.1199999999999</v>
      </c>
      <c r="E2375" s="3">
        <v>1186.23</v>
      </c>
      <c r="F2375" s="3">
        <v>0</v>
      </c>
      <c r="G2375" s="5">
        <v>7500</v>
      </c>
    </row>
    <row r="2376" spans="1:7" ht="15" customHeight="1" x14ac:dyDescent="0.25">
      <c r="A2376" s="2" t="s">
        <v>1801</v>
      </c>
      <c r="B2376" s="2" t="s">
        <v>1802</v>
      </c>
      <c r="C2376" s="3">
        <v>7167.36</v>
      </c>
      <c r="D2376" s="3">
        <v>8802.83</v>
      </c>
      <c r="E2376" s="3">
        <v>11106.09</v>
      </c>
      <c r="F2376" s="3">
        <v>4000</v>
      </c>
      <c r="G2376" s="5">
        <v>7500</v>
      </c>
    </row>
    <row r="2377" spans="1:7" ht="15" customHeight="1" x14ac:dyDescent="0.25">
      <c r="A2377" s="2" t="s">
        <v>1803</v>
      </c>
      <c r="B2377" s="2" t="s">
        <v>1434</v>
      </c>
      <c r="C2377" s="3">
        <v>5147.79</v>
      </c>
      <c r="D2377" s="3">
        <v>7445.22</v>
      </c>
      <c r="E2377" s="3">
        <v>11635.08</v>
      </c>
      <c r="F2377" s="3">
        <v>0</v>
      </c>
      <c r="G2377" s="5">
        <v>12500</v>
      </c>
    </row>
    <row r="2378" spans="1:7" ht="15" customHeight="1" x14ac:dyDescent="0.25">
      <c r="A2378" s="2" t="s">
        <v>1804</v>
      </c>
      <c r="B2378" s="2" t="s">
        <v>866</v>
      </c>
      <c r="C2378" s="3">
        <v>89849.15</v>
      </c>
      <c r="D2378" s="3">
        <v>104889.89</v>
      </c>
      <c r="E2378" s="3">
        <v>208534.57</v>
      </c>
      <c r="F2378" s="3">
        <v>120000</v>
      </c>
      <c r="G2378" s="5">
        <v>50000</v>
      </c>
    </row>
    <row r="2379" spans="1:7" x14ac:dyDescent="0.25">
      <c r="A2379" s="2" t="s">
        <v>2</v>
      </c>
      <c r="B2379" s="2" t="s">
        <v>2</v>
      </c>
      <c r="C2379" s="2" t="s">
        <v>2</v>
      </c>
      <c r="D2379" s="2" t="s">
        <v>2</v>
      </c>
      <c r="E2379" s="2"/>
      <c r="F2379" s="2" t="s">
        <v>2</v>
      </c>
      <c r="G2379" s="2" t="s">
        <v>2</v>
      </c>
    </row>
    <row r="2380" spans="1:7" ht="15" customHeight="1" x14ac:dyDescent="0.25">
      <c r="A2380" s="1" t="s">
        <v>706</v>
      </c>
      <c r="B2380" s="1" t="s">
        <v>2</v>
      </c>
    </row>
    <row r="2381" spans="1:7" x14ac:dyDescent="0.25">
      <c r="A2381" s="2" t="s">
        <v>1805</v>
      </c>
      <c r="B2381" s="2" t="s">
        <v>1806</v>
      </c>
      <c r="C2381" s="3">
        <v>39979</v>
      </c>
      <c r="D2381" s="3">
        <v>0</v>
      </c>
      <c r="E2381" s="3">
        <v>7056.25</v>
      </c>
      <c r="F2381" s="3">
        <v>39113</v>
      </c>
      <c r="G2381" s="59">
        <v>0</v>
      </c>
    </row>
    <row r="2382" spans="1:7" ht="15" customHeight="1" x14ac:dyDescent="0.25">
      <c r="A2382" s="2" t="s">
        <v>1807</v>
      </c>
      <c r="B2382" s="2" t="s">
        <v>1808</v>
      </c>
      <c r="C2382" s="3">
        <v>0</v>
      </c>
      <c r="D2382" s="3">
        <v>0</v>
      </c>
      <c r="E2382" s="3">
        <v>0</v>
      </c>
      <c r="F2382" s="3">
        <v>10000</v>
      </c>
      <c r="G2382" s="59">
        <v>0</v>
      </c>
    </row>
    <row r="2383" spans="1:7" ht="15" customHeight="1" x14ac:dyDescent="0.25">
      <c r="A2383" s="2" t="s">
        <v>1809</v>
      </c>
      <c r="B2383" s="2" t="s">
        <v>1810</v>
      </c>
      <c r="C2383" s="3">
        <v>0</v>
      </c>
      <c r="D2383" s="3">
        <v>0</v>
      </c>
      <c r="E2383" s="3">
        <v>0</v>
      </c>
      <c r="F2383" s="3">
        <v>40000</v>
      </c>
      <c r="G2383" s="59">
        <v>0</v>
      </c>
    </row>
    <row r="2384" spans="1:7" ht="15" customHeight="1" x14ac:dyDescent="0.25">
      <c r="A2384" s="2" t="s">
        <v>1811</v>
      </c>
      <c r="B2384" s="2" t="s">
        <v>1031</v>
      </c>
      <c r="C2384" s="3">
        <v>0</v>
      </c>
      <c r="D2384" s="3">
        <v>0</v>
      </c>
      <c r="E2384" s="3">
        <v>0</v>
      </c>
      <c r="F2384" s="3">
        <v>5000</v>
      </c>
      <c r="G2384" s="59">
        <v>0</v>
      </c>
    </row>
    <row r="2385" spans="1:7" ht="15" customHeight="1" x14ac:dyDescent="0.25">
      <c r="A2385" s="2" t="s">
        <v>1812</v>
      </c>
      <c r="B2385" s="2" t="s">
        <v>1033</v>
      </c>
      <c r="C2385" s="3">
        <v>0</v>
      </c>
      <c r="D2385" s="3">
        <v>0</v>
      </c>
      <c r="E2385" s="3">
        <v>0</v>
      </c>
      <c r="F2385" s="3">
        <v>47500</v>
      </c>
      <c r="G2385" s="59">
        <v>0</v>
      </c>
    </row>
    <row r="2386" spans="1:7" x14ac:dyDescent="0.25">
      <c r="A2386" s="2" t="s">
        <v>1813</v>
      </c>
      <c r="B2386" s="2" t="s">
        <v>1035</v>
      </c>
      <c r="C2386" s="3">
        <v>0</v>
      </c>
      <c r="D2386" s="3">
        <v>0</v>
      </c>
      <c r="E2386" s="3">
        <v>0</v>
      </c>
      <c r="F2386" s="3">
        <v>17500</v>
      </c>
      <c r="G2386" s="59">
        <v>0</v>
      </c>
    </row>
    <row r="2387" spans="1:7" ht="15" customHeight="1" x14ac:dyDescent="0.25">
      <c r="A2387" s="2" t="s">
        <v>1814</v>
      </c>
      <c r="B2387" s="2" t="s">
        <v>1037</v>
      </c>
      <c r="C2387" s="3">
        <v>0</v>
      </c>
      <c r="D2387" s="3">
        <v>0</v>
      </c>
      <c r="E2387" s="3">
        <v>0</v>
      </c>
      <c r="F2387" s="3">
        <v>1750</v>
      </c>
      <c r="G2387" s="59">
        <v>0</v>
      </c>
    </row>
    <row r="2388" spans="1:7" x14ac:dyDescent="0.25">
      <c r="A2388" s="2" t="s">
        <v>1815</v>
      </c>
      <c r="B2388" s="2" t="s">
        <v>1009</v>
      </c>
      <c r="C2388" s="3">
        <v>23850.639999999999</v>
      </c>
      <c r="D2388" s="3">
        <v>0</v>
      </c>
      <c r="E2388" s="3">
        <v>0</v>
      </c>
      <c r="F2388" s="3">
        <v>0</v>
      </c>
      <c r="G2388" s="59">
        <v>0</v>
      </c>
    </row>
    <row r="2389" spans="1:7" ht="15" customHeight="1" x14ac:dyDescent="0.25">
      <c r="A2389" s="2" t="s">
        <v>1816</v>
      </c>
      <c r="B2389" s="2" t="s">
        <v>1015</v>
      </c>
      <c r="C2389" s="3">
        <v>8581.11</v>
      </c>
      <c r="D2389" s="3">
        <v>0</v>
      </c>
      <c r="E2389" s="3">
        <v>0</v>
      </c>
      <c r="F2389" s="3">
        <v>0</v>
      </c>
      <c r="G2389" s="59">
        <v>0</v>
      </c>
    </row>
    <row r="2390" spans="1:7" ht="15" customHeight="1" x14ac:dyDescent="0.25">
      <c r="A2390" s="2" t="s">
        <v>1817</v>
      </c>
      <c r="B2390" s="2" t="s">
        <v>1636</v>
      </c>
      <c r="C2390" s="3">
        <v>58284.73</v>
      </c>
      <c r="D2390" s="3">
        <v>0</v>
      </c>
      <c r="E2390" s="3">
        <v>0</v>
      </c>
      <c r="F2390" s="3">
        <v>0</v>
      </c>
      <c r="G2390" s="59">
        <v>0</v>
      </c>
    </row>
    <row r="2391" spans="1:7" ht="15" customHeight="1" x14ac:dyDescent="0.25">
      <c r="A2391" s="2" t="s">
        <v>1818</v>
      </c>
      <c r="B2391" s="2" t="s">
        <v>1019</v>
      </c>
      <c r="C2391" s="3">
        <v>39114.050000000003</v>
      </c>
      <c r="D2391" s="3">
        <v>0</v>
      </c>
      <c r="E2391" s="3">
        <v>0</v>
      </c>
      <c r="F2391" s="3">
        <v>0</v>
      </c>
      <c r="G2391" s="59">
        <v>0</v>
      </c>
    </row>
    <row r="2392" spans="1:7" ht="15" customHeight="1" x14ac:dyDescent="0.25">
      <c r="A2392" s="2" t="s">
        <v>1819</v>
      </c>
      <c r="B2392" s="2" t="s">
        <v>1021</v>
      </c>
      <c r="C2392" s="3">
        <v>37161.25</v>
      </c>
      <c r="D2392" s="3">
        <v>0</v>
      </c>
      <c r="E2392" s="3">
        <v>0</v>
      </c>
      <c r="F2392" s="3">
        <v>0</v>
      </c>
      <c r="G2392" s="59">
        <v>0</v>
      </c>
    </row>
    <row r="2393" spans="1:7" ht="15" customHeight="1" x14ac:dyDescent="0.25">
      <c r="A2393" s="2" t="s">
        <v>1820</v>
      </c>
      <c r="B2393" s="2" t="s">
        <v>1821</v>
      </c>
      <c r="C2393" s="3">
        <v>24963.16</v>
      </c>
      <c r="D2393" s="3">
        <v>0</v>
      </c>
      <c r="E2393" s="3">
        <v>0</v>
      </c>
      <c r="F2393" s="3">
        <v>0</v>
      </c>
      <c r="G2393" s="59">
        <v>0</v>
      </c>
    </row>
    <row r="2394" spans="1:7" ht="15" customHeight="1" x14ac:dyDescent="0.25">
      <c r="A2394" s="2" t="s">
        <v>1822</v>
      </c>
      <c r="B2394" s="2" t="s">
        <v>1823</v>
      </c>
      <c r="C2394" s="3">
        <v>31645.87</v>
      </c>
      <c r="D2394" s="3">
        <v>0</v>
      </c>
      <c r="E2394" s="3">
        <v>31569.06</v>
      </c>
      <c r="F2394" s="3">
        <v>31570</v>
      </c>
      <c r="G2394" s="59">
        <v>0</v>
      </c>
    </row>
    <row r="2395" spans="1:7" ht="15" customHeight="1" x14ac:dyDescent="0.25">
      <c r="A2395" s="2" t="s">
        <v>1824</v>
      </c>
      <c r="B2395" s="2" t="s">
        <v>1459</v>
      </c>
      <c r="C2395" s="3">
        <v>10431.99</v>
      </c>
      <c r="D2395" s="3">
        <v>0</v>
      </c>
      <c r="E2395" s="3">
        <v>7381.48</v>
      </c>
      <c r="F2395" s="3">
        <v>8116</v>
      </c>
      <c r="G2395" s="59">
        <v>0</v>
      </c>
    </row>
    <row r="2396" spans="1:7" ht="15" customHeight="1" x14ac:dyDescent="0.25">
      <c r="A2396" s="1" t="s">
        <v>737</v>
      </c>
      <c r="B2396" s="1" t="s">
        <v>2</v>
      </c>
      <c r="C2396" s="4">
        <v>274011.8</v>
      </c>
      <c r="D2396" s="4">
        <v>0</v>
      </c>
      <c r="E2396" s="4">
        <f>SUM(E2381:E2395)</f>
        <v>46006.789999999994</v>
      </c>
      <c r="F2396" s="6">
        <f>SUM(F2381:F2395)</f>
        <v>200549</v>
      </c>
      <c r="G2396" s="6">
        <f>SUM(G2381:G2395)</f>
        <v>0</v>
      </c>
    </row>
    <row r="2397" spans="1:7" x14ac:dyDescent="0.25">
      <c r="A2397" s="1" t="s">
        <v>2</v>
      </c>
      <c r="B2397" s="1" t="s">
        <v>2</v>
      </c>
      <c r="C2397" s="1" t="s">
        <v>2</v>
      </c>
      <c r="D2397" s="1" t="s">
        <v>2</v>
      </c>
      <c r="E2397" s="1"/>
      <c r="F2397" s="1" t="s">
        <v>2</v>
      </c>
      <c r="G2397" s="1" t="s">
        <v>2</v>
      </c>
    </row>
    <row r="2398" spans="1:7" ht="15" customHeight="1" x14ac:dyDescent="0.25">
      <c r="A2398" s="1" t="s">
        <v>698</v>
      </c>
      <c r="B2398" s="1" t="s">
        <v>2</v>
      </c>
    </row>
    <row r="2399" spans="1:7" ht="15" customHeight="1" x14ac:dyDescent="0.25">
      <c r="A2399" s="2" t="s">
        <v>1825</v>
      </c>
      <c r="B2399" s="2" t="s">
        <v>700</v>
      </c>
      <c r="C2399" s="3">
        <v>0</v>
      </c>
      <c r="D2399" s="3">
        <v>0</v>
      </c>
      <c r="E2399" s="3">
        <v>0</v>
      </c>
      <c r="F2399" s="3">
        <v>0</v>
      </c>
      <c r="G2399" s="5">
        <v>0</v>
      </c>
    </row>
    <row r="2400" spans="1:7" ht="15" customHeight="1" x14ac:dyDescent="0.25">
      <c r="A2400" s="2" t="s">
        <v>1826</v>
      </c>
      <c r="B2400" s="2" t="s">
        <v>704</v>
      </c>
      <c r="C2400" s="3">
        <v>1454.36</v>
      </c>
      <c r="D2400" s="3">
        <v>0</v>
      </c>
      <c r="E2400" s="3">
        <v>0</v>
      </c>
      <c r="F2400" s="3">
        <v>0</v>
      </c>
      <c r="G2400" s="5">
        <v>0</v>
      </c>
    </row>
    <row r="2401" spans="1:8" ht="15" customHeight="1" x14ac:dyDescent="0.25">
      <c r="A2401" s="1" t="s">
        <v>705</v>
      </c>
      <c r="B2401" s="1" t="s">
        <v>2</v>
      </c>
      <c r="C2401" s="4">
        <v>1454.36</v>
      </c>
      <c r="D2401" s="4">
        <v>0</v>
      </c>
      <c r="E2401" s="4">
        <f>E2399+E2400</f>
        <v>0</v>
      </c>
      <c r="F2401" s="6">
        <f>SUM(F2399:F2400)</f>
        <v>0</v>
      </c>
      <c r="G2401" s="6">
        <f>SUM(G2399:G2400)</f>
        <v>0</v>
      </c>
    </row>
    <row r="2402" spans="1:8" x14ac:dyDescent="0.25">
      <c r="A2402" s="1" t="s">
        <v>2</v>
      </c>
      <c r="B2402" s="1" t="s">
        <v>2</v>
      </c>
      <c r="C2402" s="1" t="s">
        <v>2</v>
      </c>
      <c r="D2402" s="1" t="s">
        <v>2</v>
      </c>
      <c r="E2402" s="1"/>
      <c r="F2402" s="1" t="s">
        <v>2</v>
      </c>
      <c r="G2402" s="1" t="s">
        <v>2</v>
      </c>
    </row>
    <row r="2403" spans="1:8" ht="15" customHeight="1" x14ac:dyDescent="0.25">
      <c r="A2403" s="1" t="s">
        <v>1827</v>
      </c>
      <c r="B2403" s="1" t="s">
        <v>2</v>
      </c>
      <c r="C2403" s="4">
        <v>1521893.61</v>
      </c>
      <c r="D2403" s="4">
        <v>635745.81000000006</v>
      </c>
      <c r="E2403" s="4">
        <f>E2351+E2353+E2369+SUM(E2371:E2378)+E2396+E2401</f>
        <v>1108369.21</v>
      </c>
      <c r="F2403" s="6">
        <f>F2401+F2396+SUM(F2371:F2378)+F2369+F2353+F2351</f>
        <v>6786736.0800000001</v>
      </c>
      <c r="G2403" s="6">
        <f>G2401+G2396+SUM(G2371:G2378)+G2369+G2353+G2351</f>
        <v>6524187.8701499999</v>
      </c>
    </row>
    <row r="2404" spans="1:8" ht="15" customHeight="1" x14ac:dyDescent="0.25">
      <c r="A2404" s="25" t="s">
        <v>3088</v>
      </c>
      <c r="B2404" s="25"/>
      <c r="C2404" s="33">
        <f>C2226+C2303-C2403</f>
        <v>1971194.3800000001</v>
      </c>
      <c r="D2404" s="33">
        <f t="shared" ref="D2404:G2404" si="64">D2226+D2303-D2403</f>
        <v>2269936.1599999997</v>
      </c>
      <c r="E2404" s="33">
        <f t="shared" si="64"/>
        <v>3404245.5100000007</v>
      </c>
      <c r="F2404" s="33">
        <f t="shared" si="64"/>
        <v>1898686.2999999989</v>
      </c>
      <c r="G2404" s="33">
        <f t="shared" si="64"/>
        <v>-636273.57015000097</v>
      </c>
      <c r="H2404" s="25"/>
    </row>
    <row r="2405" spans="1:8" x14ac:dyDescent="0.25">
      <c r="A2405" s="1" t="s">
        <v>2</v>
      </c>
      <c r="B2405" s="1" t="s">
        <v>2</v>
      </c>
      <c r="C2405" s="1" t="s">
        <v>2</v>
      </c>
      <c r="D2405" s="1" t="s">
        <v>2</v>
      </c>
      <c r="E2405" s="1"/>
      <c r="F2405" s="1" t="s">
        <v>2</v>
      </c>
      <c r="G2405" s="1" t="s">
        <v>2</v>
      </c>
    </row>
    <row r="2406" spans="1:8" ht="15" customHeight="1" x14ac:dyDescent="0.25">
      <c r="A2406" s="27" t="s">
        <v>3089</v>
      </c>
      <c r="B2406" s="27"/>
      <c r="C2406" s="28">
        <v>22257.37</v>
      </c>
      <c r="D2406" s="28">
        <v>22257.38</v>
      </c>
      <c r="E2406" s="28">
        <v>22257.38</v>
      </c>
      <c r="F2406" s="28">
        <v>22257.38</v>
      </c>
      <c r="G2406" s="28">
        <f>F2445</f>
        <v>22259.380000000005</v>
      </c>
      <c r="H2406" s="27"/>
    </row>
    <row r="2407" spans="1:8" x14ac:dyDescent="0.25">
      <c r="A2407" s="23" t="s">
        <v>1828</v>
      </c>
      <c r="B2407" s="23" t="s">
        <v>2</v>
      </c>
      <c r="C2407" s="29"/>
      <c r="D2407" s="29"/>
      <c r="E2407" s="29"/>
      <c r="F2407" s="29"/>
      <c r="G2407" s="29"/>
      <c r="H2407" s="29"/>
    </row>
    <row r="2408" spans="1:8" x14ac:dyDescent="0.25">
      <c r="A2408" s="23" t="s">
        <v>2026</v>
      </c>
      <c r="B2408" s="23" t="s">
        <v>2</v>
      </c>
      <c r="C2408" s="29"/>
      <c r="D2408" s="29"/>
      <c r="E2408" s="29"/>
      <c r="F2408" s="29"/>
      <c r="G2408" s="29"/>
      <c r="H2408" s="29"/>
    </row>
    <row r="2409" spans="1:8" x14ac:dyDescent="0.25">
      <c r="A2409" s="23" t="s">
        <v>2175</v>
      </c>
      <c r="B2409" s="23" t="s">
        <v>2</v>
      </c>
      <c r="C2409" s="29"/>
      <c r="D2409" s="29"/>
      <c r="E2409" s="29"/>
      <c r="F2409" s="29"/>
      <c r="G2409" s="29"/>
      <c r="H2409" s="29"/>
    </row>
    <row r="2410" spans="1:8" x14ac:dyDescent="0.25">
      <c r="A2410" s="23" t="s">
        <v>2176</v>
      </c>
      <c r="B2410" s="23" t="s">
        <v>2</v>
      </c>
      <c r="C2410" s="29"/>
      <c r="D2410" s="29"/>
      <c r="E2410" s="29"/>
      <c r="F2410" s="29"/>
      <c r="G2410" s="29"/>
      <c r="H2410" s="29"/>
    </row>
    <row r="2411" spans="1:8" x14ac:dyDescent="0.25">
      <c r="A2411" s="30" t="s">
        <v>3090</v>
      </c>
      <c r="B2411" s="30" t="s">
        <v>2409</v>
      </c>
      <c r="C2411" s="31">
        <v>0</v>
      </c>
      <c r="D2411" s="31">
        <v>0</v>
      </c>
      <c r="E2411" s="31">
        <v>0</v>
      </c>
      <c r="F2411" s="31">
        <v>0</v>
      </c>
      <c r="G2411" s="31">
        <v>0</v>
      </c>
      <c r="H2411" s="29"/>
    </row>
    <row r="2412" spans="1:8" x14ac:dyDescent="0.25">
      <c r="A2412" s="30" t="s">
        <v>3091</v>
      </c>
      <c r="B2412" s="30" t="s">
        <v>2703</v>
      </c>
      <c r="C2412" s="31">
        <v>0</v>
      </c>
      <c r="D2412" s="31">
        <v>0</v>
      </c>
      <c r="E2412" s="31">
        <v>0</v>
      </c>
      <c r="F2412" s="31">
        <v>0</v>
      </c>
      <c r="G2412" s="31">
        <v>0</v>
      </c>
      <c r="H2412" s="29"/>
    </row>
    <row r="2413" spans="1:8" ht="24" x14ac:dyDescent="0.25">
      <c r="A2413" s="23" t="s">
        <v>2179</v>
      </c>
      <c r="B2413" s="23" t="s">
        <v>2</v>
      </c>
      <c r="C2413" s="32">
        <v>0</v>
      </c>
      <c r="D2413" s="32">
        <v>0</v>
      </c>
      <c r="E2413" s="32">
        <f>E2411+E2412</f>
        <v>0</v>
      </c>
      <c r="F2413" s="32">
        <f>SUM(F2411:F2412)</f>
        <v>0</v>
      </c>
      <c r="G2413" s="32">
        <f>SUM(G2411:G2412)</f>
        <v>0</v>
      </c>
      <c r="H2413" s="29"/>
    </row>
    <row r="2414" spans="1:8" x14ac:dyDescent="0.25">
      <c r="A2414" s="23" t="s">
        <v>2</v>
      </c>
      <c r="B2414" s="23" t="s">
        <v>2</v>
      </c>
      <c r="C2414" s="23" t="s">
        <v>2</v>
      </c>
      <c r="D2414" s="23" t="s">
        <v>2</v>
      </c>
      <c r="E2414" s="23"/>
      <c r="F2414" s="23" t="s">
        <v>2</v>
      </c>
      <c r="G2414" s="23" t="s">
        <v>2</v>
      </c>
      <c r="H2414" s="29"/>
    </row>
    <row r="2415" spans="1:8" ht="24" x14ac:dyDescent="0.25">
      <c r="A2415" s="23" t="s">
        <v>2180</v>
      </c>
      <c r="B2415" s="23" t="s">
        <v>2</v>
      </c>
      <c r="C2415" s="32">
        <v>0</v>
      </c>
      <c r="D2415" s="32">
        <v>0</v>
      </c>
      <c r="E2415" s="32">
        <f>E2413</f>
        <v>0</v>
      </c>
      <c r="F2415" s="32">
        <f>F2413</f>
        <v>0</v>
      </c>
      <c r="G2415" s="32">
        <f>G2413</f>
        <v>0</v>
      </c>
      <c r="H2415" s="29"/>
    </row>
    <row r="2416" spans="1:8" x14ac:dyDescent="0.25">
      <c r="A2416" s="23" t="s">
        <v>2</v>
      </c>
      <c r="B2416" s="23" t="s">
        <v>2</v>
      </c>
      <c r="C2416" s="23" t="s">
        <v>2</v>
      </c>
      <c r="D2416" s="23" t="s">
        <v>2</v>
      </c>
      <c r="E2416" s="23"/>
      <c r="F2416" s="23" t="s">
        <v>2</v>
      </c>
      <c r="G2416" s="23" t="s">
        <v>2</v>
      </c>
      <c r="H2416" s="29"/>
    </row>
    <row r="2417" spans="1:8" x14ac:dyDescent="0.25">
      <c r="A2417" s="23" t="s">
        <v>2553</v>
      </c>
      <c r="B2417" s="23" t="s">
        <v>2</v>
      </c>
      <c r="C2417" s="29"/>
      <c r="D2417" s="29"/>
      <c r="E2417" s="29"/>
      <c r="F2417" s="29"/>
      <c r="G2417" s="29"/>
      <c r="H2417" s="29"/>
    </row>
    <row r="2418" spans="1:8" x14ac:dyDescent="0.25">
      <c r="A2418" s="30" t="s">
        <v>3092</v>
      </c>
      <c r="B2418" s="30" t="s">
        <v>3023</v>
      </c>
      <c r="C2418" s="31">
        <v>13909.32</v>
      </c>
      <c r="D2418" s="31">
        <v>0</v>
      </c>
      <c r="E2418" s="31">
        <v>9841.9699999999993</v>
      </c>
      <c r="F2418" s="31">
        <v>10821</v>
      </c>
      <c r="G2418" s="58">
        <v>0</v>
      </c>
      <c r="H2418" s="29"/>
    </row>
    <row r="2419" spans="1:8" x14ac:dyDescent="0.25">
      <c r="A2419" s="30" t="s">
        <v>3093</v>
      </c>
      <c r="B2419" s="30" t="s">
        <v>3094</v>
      </c>
      <c r="C2419" s="31">
        <v>67041.02</v>
      </c>
      <c r="D2419" s="31">
        <v>0</v>
      </c>
      <c r="E2419" s="31">
        <v>38950.54</v>
      </c>
      <c r="F2419" s="31">
        <v>39686</v>
      </c>
      <c r="G2419" s="58">
        <v>0</v>
      </c>
      <c r="H2419" s="29"/>
    </row>
    <row r="2420" spans="1:8" x14ac:dyDescent="0.25">
      <c r="A2420" s="30" t="s">
        <v>3095</v>
      </c>
      <c r="B2420" s="30" t="s">
        <v>3096</v>
      </c>
      <c r="C2420" s="31">
        <v>87829.77</v>
      </c>
      <c r="D2420" s="31">
        <v>0</v>
      </c>
      <c r="E2420" s="31">
        <v>152681.89000000001</v>
      </c>
      <c r="F2420" s="31">
        <v>92120</v>
      </c>
      <c r="G2420" s="58">
        <v>0</v>
      </c>
      <c r="H2420" s="29"/>
    </row>
    <row r="2421" spans="1:8" x14ac:dyDescent="0.25">
      <c r="A2421" s="30" t="s">
        <v>3097</v>
      </c>
      <c r="B2421" s="30" t="s">
        <v>3098</v>
      </c>
      <c r="C2421" s="31">
        <v>20284.43</v>
      </c>
      <c r="D2421" s="31">
        <v>0</v>
      </c>
      <c r="E2421" s="31">
        <v>14352.87</v>
      </c>
      <c r="F2421" s="31">
        <v>15780</v>
      </c>
      <c r="G2421" s="58">
        <v>0</v>
      </c>
      <c r="H2421" s="29"/>
    </row>
    <row r="2422" spans="1:8" x14ac:dyDescent="0.25">
      <c r="A2422" s="30" t="s">
        <v>3099</v>
      </c>
      <c r="B2422" s="30" t="s">
        <v>3100</v>
      </c>
      <c r="C2422" s="31">
        <v>0</v>
      </c>
      <c r="D2422" s="31">
        <v>0</v>
      </c>
      <c r="E2422" s="31">
        <v>0</v>
      </c>
      <c r="F2422" s="31">
        <v>0</v>
      </c>
      <c r="G2422" s="58">
        <v>0</v>
      </c>
      <c r="H2422" s="29"/>
    </row>
    <row r="2423" spans="1:8" x14ac:dyDescent="0.25">
      <c r="A2423" s="30" t="s">
        <v>3101</v>
      </c>
      <c r="B2423" s="30" t="s">
        <v>3102</v>
      </c>
      <c r="C2423" s="31">
        <v>0</v>
      </c>
      <c r="D2423" s="31">
        <v>0</v>
      </c>
      <c r="E2423" s="31">
        <v>0</v>
      </c>
      <c r="F2423" s="31">
        <v>0</v>
      </c>
      <c r="G2423" s="58">
        <v>0</v>
      </c>
      <c r="H2423" s="29"/>
    </row>
    <row r="2424" spans="1:8" ht="24" x14ac:dyDescent="0.25">
      <c r="A2424" s="23" t="s">
        <v>2556</v>
      </c>
      <c r="B2424" s="23" t="s">
        <v>2</v>
      </c>
      <c r="C2424" s="32">
        <v>189064.54</v>
      </c>
      <c r="D2424" s="32">
        <v>0</v>
      </c>
      <c r="E2424" s="32">
        <f>SUM(E2418:E2423)</f>
        <v>215827.27000000002</v>
      </c>
      <c r="F2424" s="32">
        <f>SUM(F2418:F2423)</f>
        <v>158407</v>
      </c>
      <c r="G2424" s="32">
        <f>SUM(G2418:G2423)</f>
        <v>0</v>
      </c>
      <c r="H2424" s="29"/>
    </row>
    <row r="2425" spans="1:8" x14ac:dyDescent="0.25">
      <c r="A2425" s="23" t="s">
        <v>2</v>
      </c>
      <c r="B2425" s="23" t="s">
        <v>2</v>
      </c>
      <c r="C2425" s="23" t="s">
        <v>2</v>
      </c>
      <c r="D2425" s="23" t="s">
        <v>2</v>
      </c>
      <c r="E2425" s="23"/>
      <c r="F2425" s="23" t="s">
        <v>2</v>
      </c>
      <c r="G2425" s="23" t="s">
        <v>2</v>
      </c>
      <c r="H2425" s="29"/>
    </row>
    <row r="2426" spans="1:8" x14ac:dyDescent="0.25">
      <c r="A2426" s="23" t="s">
        <v>1845</v>
      </c>
      <c r="B2426" s="23" t="s">
        <v>2</v>
      </c>
      <c r="C2426" s="32">
        <v>189064.54</v>
      </c>
      <c r="D2426" s="32">
        <v>0</v>
      </c>
      <c r="E2426" s="32">
        <f>E2413+E2415+E2424</f>
        <v>215827.27000000002</v>
      </c>
      <c r="F2426" s="32">
        <f>F2424+F2415</f>
        <v>158407</v>
      </c>
      <c r="G2426" s="32">
        <f>G2424+G2415</f>
        <v>0</v>
      </c>
      <c r="H2426" s="29"/>
    </row>
    <row r="2427" spans="1:8" x14ac:dyDescent="0.25">
      <c r="A2427" s="1" t="s">
        <v>740</v>
      </c>
      <c r="B2427" s="1"/>
      <c r="C2427" s="4"/>
      <c r="D2427" s="4"/>
      <c r="E2427" s="4"/>
      <c r="F2427" s="6"/>
      <c r="G2427" s="6"/>
    </row>
    <row r="2428" spans="1:8" ht="15" customHeight="1" x14ac:dyDescent="0.25">
      <c r="A2428" s="1" t="s">
        <v>1828</v>
      </c>
      <c r="B2428" s="1" t="s">
        <v>2</v>
      </c>
      <c r="C2428" s="40"/>
    </row>
    <row r="2429" spans="1:8" ht="15" customHeight="1" x14ac:dyDescent="0.25">
      <c r="A2429" s="1" t="s">
        <v>556</v>
      </c>
      <c r="B2429" s="1" t="s">
        <v>2</v>
      </c>
    </row>
    <row r="2430" spans="1:8" ht="24" x14ac:dyDescent="0.25">
      <c r="A2430" s="1" t="s">
        <v>1161</v>
      </c>
      <c r="B2430" s="1" t="s">
        <v>2</v>
      </c>
    </row>
    <row r="2431" spans="1:8" x14ac:dyDescent="0.25">
      <c r="A2431" s="2" t="s">
        <v>1829</v>
      </c>
      <c r="B2431" s="2" t="s">
        <v>1830</v>
      </c>
      <c r="C2431" s="3">
        <v>30724.14</v>
      </c>
      <c r="D2431" s="3">
        <v>30724.14</v>
      </c>
      <c r="E2431" s="3">
        <v>30724.14</v>
      </c>
      <c r="F2431" s="3">
        <v>30725</v>
      </c>
      <c r="G2431" s="59">
        <v>30724.15</v>
      </c>
    </row>
    <row r="2432" spans="1:8" ht="15" customHeight="1" x14ac:dyDescent="0.25">
      <c r="A2432" s="2" t="s">
        <v>1831</v>
      </c>
      <c r="B2432" s="2" t="s">
        <v>1832</v>
      </c>
      <c r="C2432" s="3">
        <v>23684.21</v>
      </c>
      <c r="D2432" s="3">
        <v>0</v>
      </c>
      <c r="E2432" s="3">
        <v>0</v>
      </c>
      <c r="F2432" s="3">
        <v>0</v>
      </c>
      <c r="G2432" s="59">
        <v>0</v>
      </c>
    </row>
    <row r="2433" spans="1:8" ht="15" customHeight="1" x14ac:dyDescent="0.25">
      <c r="A2433" s="2" t="s">
        <v>1833</v>
      </c>
      <c r="B2433" s="2" t="s">
        <v>1834</v>
      </c>
      <c r="C2433" s="3">
        <v>50000</v>
      </c>
      <c r="D2433" s="3">
        <v>0</v>
      </c>
      <c r="E2433" s="3">
        <v>60000</v>
      </c>
      <c r="F2433" s="3">
        <v>60000</v>
      </c>
      <c r="G2433" s="59">
        <v>55000</v>
      </c>
    </row>
    <row r="2434" spans="1:8" x14ac:dyDescent="0.25">
      <c r="A2434" s="2" t="s">
        <v>1835</v>
      </c>
      <c r="B2434" s="2" t="s">
        <v>1836</v>
      </c>
      <c r="C2434" s="3">
        <v>46830.09</v>
      </c>
      <c r="D2434" s="3">
        <v>0</v>
      </c>
      <c r="E2434" s="3">
        <v>36030.879999999997</v>
      </c>
      <c r="F2434" s="3">
        <v>36031</v>
      </c>
      <c r="G2434" s="59">
        <v>37832.42</v>
      </c>
    </row>
    <row r="2435" spans="1:8" ht="24" x14ac:dyDescent="0.25">
      <c r="A2435" s="1" t="s">
        <v>1164</v>
      </c>
      <c r="B2435" s="1" t="s">
        <v>2</v>
      </c>
      <c r="C2435" s="4">
        <v>151238.44</v>
      </c>
      <c r="D2435" s="4">
        <v>30724.14</v>
      </c>
      <c r="E2435" s="4">
        <f>SUM(E2431:E2434)</f>
        <v>126755.01999999999</v>
      </c>
      <c r="F2435" s="6">
        <f>SUM(F2431:F2434)</f>
        <v>126756</v>
      </c>
      <c r="G2435" s="6">
        <f>SUM(G2431:G2434)</f>
        <v>123556.56999999999</v>
      </c>
    </row>
    <row r="2436" spans="1:8" x14ac:dyDescent="0.25">
      <c r="A2436" s="1" t="s">
        <v>2</v>
      </c>
      <c r="B2436" s="1" t="s">
        <v>2</v>
      </c>
      <c r="C2436" s="1" t="s">
        <v>2</v>
      </c>
      <c r="D2436" s="1" t="s">
        <v>2</v>
      </c>
      <c r="E2436" s="1"/>
      <c r="F2436" s="1" t="s">
        <v>2</v>
      </c>
      <c r="G2436" s="1" t="s">
        <v>2</v>
      </c>
    </row>
    <row r="2437" spans="1:8" ht="15" customHeight="1" x14ac:dyDescent="0.25">
      <c r="A2437" s="1" t="s">
        <v>1153</v>
      </c>
      <c r="B2437" s="1" t="s">
        <v>2</v>
      </c>
    </row>
    <row r="2438" spans="1:8" ht="15" customHeight="1" x14ac:dyDescent="0.25">
      <c r="A2438" s="2" t="s">
        <v>1837</v>
      </c>
      <c r="B2438" s="2" t="s">
        <v>1838</v>
      </c>
      <c r="C2438" s="3">
        <v>1278.95</v>
      </c>
      <c r="D2438" s="3">
        <v>0</v>
      </c>
      <c r="E2438" s="3">
        <v>0</v>
      </c>
      <c r="F2438" s="3">
        <v>0</v>
      </c>
      <c r="G2438" s="59">
        <v>0</v>
      </c>
    </row>
    <row r="2439" spans="1:8" x14ac:dyDescent="0.25">
      <c r="A2439" s="2" t="s">
        <v>1839</v>
      </c>
      <c r="B2439" s="2" t="s">
        <v>1840</v>
      </c>
      <c r="C2439" s="3">
        <v>921.73</v>
      </c>
      <c r="D2439" s="3">
        <v>844.92</v>
      </c>
      <c r="E2439" s="3">
        <v>844.92</v>
      </c>
      <c r="F2439" s="3">
        <v>845</v>
      </c>
      <c r="G2439" s="59">
        <v>768.11</v>
      </c>
    </row>
    <row r="2440" spans="1:8" x14ac:dyDescent="0.25">
      <c r="A2440" s="2" t="s">
        <v>1841</v>
      </c>
      <c r="B2440" s="2" t="s">
        <v>1842</v>
      </c>
      <c r="C2440" s="3">
        <v>11125.41</v>
      </c>
      <c r="D2440" s="3">
        <v>0</v>
      </c>
      <c r="E2440" s="3">
        <v>4977.33</v>
      </c>
      <c r="F2440" s="3">
        <v>9054</v>
      </c>
      <c r="G2440" s="59">
        <v>7207.33</v>
      </c>
    </row>
    <row r="2441" spans="1:8" ht="15" customHeight="1" x14ac:dyDescent="0.25">
      <c r="A2441" s="2" t="s">
        <v>1843</v>
      </c>
      <c r="B2441" s="2" t="s">
        <v>1844</v>
      </c>
      <c r="C2441" s="3">
        <v>24500</v>
      </c>
      <c r="D2441" s="3">
        <v>0</v>
      </c>
      <c r="E2441" s="3">
        <v>11625</v>
      </c>
      <c r="F2441" s="3">
        <v>21750</v>
      </c>
      <c r="G2441" s="59">
        <v>18875</v>
      </c>
    </row>
    <row r="2442" spans="1:8" ht="15" customHeight="1" x14ac:dyDescent="0.25">
      <c r="A2442" s="1" t="s">
        <v>1158</v>
      </c>
      <c r="B2442" s="1" t="s">
        <v>2</v>
      </c>
      <c r="C2442" s="4">
        <v>37826.089999999997</v>
      </c>
      <c r="D2442" s="4">
        <v>844.92</v>
      </c>
      <c r="E2442" s="4">
        <f>SUM(E2438:E2441)</f>
        <v>17447.25</v>
      </c>
      <c r="F2442" s="6">
        <f>SUM(F2438:F2441)</f>
        <v>31649</v>
      </c>
      <c r="G2442" s="6">
        <f>SUM(G2438:G2441)</f>
        <v>26850.44</v>
      </c>
    </row>
    <row r="2443" spans="1:8" x14ac:dyDescent="0.25">
      <c r="A2443" s="1" t="s">
        <v>2</v>
      </c>
      <c r="B2443" s="1" t="s">
        <v>2</v>
      </c>
      <c r="C2443" s="1" t="s">
        <v>2</v>
      </c>
      <c r="D2443" s="1" t="s">
        <v>2</v>
      </c>
      <c r="E2443" s="1"/>
      <c r="F2443" s="1" t="s">
        <v>2</v>
      </c>
      <c r="G2443" s="1" t="s">
        <v>2</v>
      </c>
    </row>
    <row r="2444" spans="1:8" ht="15" customHeight="1" x14ac:dyDescent="0.25">
      <c r="A2444" s="1" t="s">
        <v>1845</v>
      </c>
      <c r="B2444" s="1" t="s">
        <v>2</v>
      </c>
      <c r="C2444" s="4">
        <v>189064.53</v>
      </c>
      <c r="D2444" s="4">
        <v>31569.06</v>
      </c>
      <c r="E2444" s="4">
        <f>E2435+E2442</f>
        <v>144202.26999999999</v>
      </c>
      <c r="F2444" s="6">
        <f>F2442+F2435</f>
        <v>158405</v>
      </c>
      <c r="G2444" s="6">
        <f>G2442+G2435</f>
        <v>150407.00999999998</v>
      </c>
    </row>
    <row r="2445" spans="1:8" ht="15" customHeight="1" x14ac:dyDescent="0.25">
      <c r="A2445" s="25" t="s">
        <v>3103</v>
      </c>
      <c r="B2445" s="25"/>
      <c r="C2445" s="33">
        <f>C2406+C2426-C2444</f>
        <v>22257.380000000005</v>
      </c>
      <c r="D2445" s="33">
        <f t="shared" ref="D2445:G2445" si="65">D2406+D2426-D2444</f>
        <v>-9311.68</v>
      </c>
      <c r="E2445" s="33">
        <f t="shared" si="65"/>
        <v>93882.380000000034</v>
      </c>
      <c r="F2445" s="33">
        <f t="shared" si="65"/>
        <v>22259.380000000005</v>
      </c>
      <c r="G2445" s="33">
        <f t="shared" si="65"/>
        <v>-128147.62999999998</v>
      </c>
      <c r="H2445" s="25"/>
    </row>
    <row r="2446" spans="1:8" x14ac:dyDescent="0.25">
      <c r="A2446" s="1" t="s">
        <v>2</v>
      </c>
      <c r="B2446" s="1" t="s">
        <v>2</v>
      </c>
      <c r="C2446" s="36"/>
      <c r="D2446" s="1" t="s">
        <v>2</v>
      </c>
      <c r="E2446" s="1"/>
      <c r="F2446" s="36"/>
      <c r="G2446" s="1" t="s">
        <v>2</v>
      </c>
    </row>
    <row r="2447" spans="1:8" ht="15" customHeight="1" x14ac:dyDescent="0.25">
      <c r="A2447" s="27" t="s">
        <v>3104</v>
      </c>
      <c r="B2447" s="27"/>
      <c r="C2447" s="28">
        <v>44657.69</v>
      </c>
      <c r="D2447" s="28">
        <v>67605.98</v>
      </c>
      <c r="E2447" s="28">
        <v>67605.98</v>
      </c>
      <c r="F2447" s="28">
        <v>67605.98</v>
      </c>
      <c r="G2447" s="28">
        <f>F2460</f>
        <v>29486.979999999996</v>
      </c>
      <c r="H2447" s="27"/>
    </row>
    <row r="2448" spans="1:8" ht="24" x14ac:dyDescent="0.25">
      <c r="A2448" s="23" t="s">
        <v>1846</v>
      </c>
      <c r="B2448" s="23" t="s">
        <v>2</v>
      </c>
      <c r="C2448" s="29"/>
      <c r="D2448" s="29"/>
      <c r="E2448" s="29"/>
      <c r="F2448" s="29"/>
      <c r="G2448" s="29"/>
      <c r="H2448" s="29"/>
    </row>
    <row r="2449" spans="1:8" x14ac:dyDescent="0.25">
      <c r="A2449" s="23" t="s">
        <v>2026</v>
      </c>
      <c r="B2449" s="23" t="s">
        <v>2</v>
      </c>
      <c r="C2449" s="29"/>
      <c r="D2449" s="29"/>
      <c r="E2449" s="29"/>
      <c r="F2449" s="29"/>
      <c r="G2449" s="29"/>
      <c r="H2449" s="29"/>
    </row>
    <row r="2450" spans="1:8" x14ac:dyDescent="0.25">
      <c r="A2450" s="30" t="s">
        <v>3105</v>
      </c>
      <c r="B2450" s="30" t="s">
        <v>2409</v>
      </c>
      <c r="C2450" s="31">
        <v>0</v>
      </c>
      <c r="D2450" s="31">
        <v>0</v>
      </c>
      <c r="E2450" s="31">
        <v>0</v>
      </c>
      <c r="F2450" s="31">
        <v>0</v>
      </c>
      <c r="G2450" s="31">
        <v>0</v>
      </c>
      <c r="H2450" s="29"/>
    </row>
    <row r="2451" spans="1:8" x14ac:dyDescent="0.25">
      <c r="A2451" s="30" t="s">
        <v>3106</v>
      </c>
      <c r="B2451" s="30" t="s">
        <v>3107</v>
      </c>
      <c r="C2451" s="31">
        <v>55367.41</v>
      </c>
      <c r="D2451" s="31">
        <v>20769.55</v>
      </c>
      <c r="E2451" s="31">
        <v>34547.120000000003</v>
      </c>
      <c r="F2451" s="31">
        <v>43200</v>
      </c>
      <c r="G2451" s="31">
        <v>45000</v>
      </c>
      <c r="H2451" s="29"/>
    </row>
    <row r="2452" spans="1:8" x14ac:dyDescent="0.25">
      <c r="A2452" s="30" t="s">
        <v>3108</v>
      </c>
      <c r="B2452" s="30" t="s">
        <v>3109</v>
      </c>
      <c r="C2452" s="31">
        <v>0</v>
      </c>
      <c r="D2452" s="31">
        <v>0</v>
      </c>
      <c r="E2452" s="31">
        <v>0</v>
      </c>
      <c r="F2452" s="31">
        <v>0</v>
      </c>
      <c r="G2452" s="31">
        <v>0</v>
      </c>
      <c r="H2452" s="29"/>
    </row>
    <row r="2453" spans="1:8" ht="24" x14ac:dyDescent="0.25">
      <c r="A2453" s="23" t="s">
        <v>1853</v>
      </c>
      <c r="B2453" s="23" t="s">
        <v>2</v>
      </c>
      <c r="C2453" s="32">
        <v>55367.41</v>
      </c>
      <c r="D2453" s="32">
        <v>20769.55</v>
      </c>
      <c r="E2453" s="32">
        <f>SUM(E2450:E2452)</f>
        <v>34547.120000000003</v>
      </c>
      <c r="F2453" s="32">
        <f>SUM(F2450:F2452)</f>
        <v>43200</v>
      </c>
      <c r="G2453" s="32">
        <f>SUM(G2450:G2452)</f>
        <v>45000</v>
      </c>
      <c r="H2453" s="29"/>
    </row>
    <row r="2454" spans="1:8" x14ac:dyDescent="0.25">
      <c r="A2454" s="1" t="s">
        <v>740</v>
      </c>
      <c r="B2454" s="1"/>
      <c r="C2454" s="4"/>
      <c r="D2454" s="4"/>
      <c r="E2454" s="4"/>
      <c r="F2454" s="6"/>
      <c r="G2454" s="6"/>
      <c r="H2454" s="6"/>
    </row>
    <row r="2455" spans="1:8" ht="15" customHeight="1" x14ac:dyDescent="0.25">
      <c r="A2455" s="1" t="s">
        <v>1846</v>
      </c>
      <c r="B2455" s="1" t="s">
        <v>2</v>
      </c>
    </row>
    <row r="2456" spans="1:8" ht="15" customHeight="1" x14ac:dyDescent="0.25">
      <c r="A2456" s="2" t="s">
        <v>1847</v>
      </c>
      <c r="B2456" s="2" t="s">
        <v>1848</v>
      </c>
      <c r="C2456" s="3">
        <v>0</v>
      </c>
      <c r="D2456" s="3">
        <v>0</v>
      </c>
      <c r="E2456" s="3">
        <v>0</v>
      </c>
      <c r="F2456" s="3">
        <v>0</v>
      </c>
      <c r="G2456" s="59">
        <v>0</v>
      </c>
    </row>
    <row r="2457" spans="1:8" ht="15" customHeight="1" x14ac:dyDescent="0.25">
      <c r="A2457" s="2" t="s">
        <v>1849</v>
      </c>
      <c r="B2457" s="2" t="s">
        <v>1850</v>
      </c>
      <c r="C2457" s="3">
        <v>30795.91</v>
      </c>
      <c r="D2457" s="3">
        <v>0</v>
      </c>
      <c r="E2457" s="3">
        <v>80000</v>
      </c>
      <c r="F2457" s="3">
        <v>80000</v>
      </c>
      <c r="G2457" s="59">
        <v>0</v>
      </c>
    </row>
    <row r="2458" spans="1:8" ht="15" customHeight="1" x14ac:dyDescent="0.25">
      <c r="A2458" s="2" t="s">
        <v>1851</v>
      </c>
      <c r="B2458" s="2" t="s">
        <v>1852</v>
      </c>
      <c r="C2458" s="3">
        <v>1623.21</v>
      </c>
      <c r="D2458" s="3">
        <v>0</v>
      </c>
      <c r="E2458" s="3">
        <v>1315.25</v>
      </c>
      <c r="F2458" s="3">
        <v>1319</v>
      </c>
      <c r="G2458" s="59">
        <v>0</v>
      </c>
    </row>
    <row r="2459" spans="1:8" ht="15" customHeight="1" x14ac:dyDescent="0.25">
      <c r="A2459" s="1" t="s">
        <v>1853</v>
      </c>
      <c r="B2459" s="1" t="s">
        <v>2</v>
      </c>
      <c r="C2459" s="4">
        <v>32419.119999999999</v>
      </c>
      <c r="D2459" s="4">
        <v>0</v>
      </c>
      <c r="E2459" s="4">
        <f>SUM(E2456:E2458)</f>
        <v>81315.25</v>
      </c>
      <c r="F2459" s="6">
        <f>SUM(F2456:F2458)</f>
        <v>81319</v>
      </c>
      <c r="G2459" s="6">
        <f>SUM(G2456:G2458)</f>
        <v>0</v>
      </c>
    </row>
    <row r="2460" spans="1:8" ht="15" customHeight="1" x14ac:dyDescent="0.25">
      <c r="A2460" s="25" t="s">
        <v>3110</v>
      </c>
      <c r="B2460" s="25" t="s">
        <v>2</v>
      </c>
      <c r="C2460" s="33">
        <f>C2447+C2453-C2459</f>
        <v>67605.98000000001</v>
      </c>
      <c r="D2460" s="33">
        <f t="shared" ref="D2460:G2460" si="66">D2447+D2453-D2459</f>
        <v>88375.53</v>
      </c>
      <c r="E2460" s="33">
        <f t="shared" si="66"/>
        <v>20837.850000000006</v>
      </c>
      <c r="F2460" s="33">
        <f t="shared" si="66"/>
        <v>29486.979999999996</v>
      </c>
      <c r="G2460" s="33">
        <f t="shared" si="66"/>
        <v>74486.98</v>
      </c>
      <c r="H2460" s="25"/>
    </row>
    <row r="2461" spans="1:8" x14ac:dyDescent="0.25">
      <c r="A2461" s="1" t="s">
        <v>2</v>
      </c>
      <c r="B2461" s="1" t="s">
        <v>2</v>
      </c>
      <c r="C2461" s="1" t="s">
        <v>2</v>
      </c>
      <c r="D2461" s="1" t="s">
        <v>2</v>
      </c>
      <c r="E2461" s="1"/>
      <c r="F2461" s="1" t="s">
        <v>2</v>
      </c>
      <c r="G2461" s="1" t="s">
        <v>2</v>
      </c>
    </row>
    <row r="2462" spans="1:8" ht="15" customHeight="1" x14ac:dyDescent="0.25">
      <c r="A2462" s="27" t="s">
        <v>3111</v>
      </c>
      <c r="B2462" s="27" t="s">
        <v>2</v>
      </c>
      <c r="C2462" s="28">
        <v>3619415.45</v>
      </c>
      <c r="D2462" s="28">
        <v>3509975.18</v>
      </c>
      <c r="E2462" s="28">
        <v>3509975.18</v>
      </c>
      <c r="F2462" s="28">
        <v>3509975.18</v>
      </c>
      <c r="G2462" s="28">
        <f>F2473</f>
        <v>-3506.8599999998696</v>
      </c>
      <c r="H2462" s="27"/>
    </row>
    <row r="2463" spans="1:8" ht="24" x14ac:dyDescent="0.25">
      <c r="A2463" s="23" t="s">
        <v>1854</v>
      </c>
      <c r="B2463" s="23" t="s">
        <v>2</v>
      </c>
      <c r="C2463" s="29"/>
      <c r="D2463" s="29"/>
      <c r="E2463" s="29"/>
      <c r="F2463" s="29"/>
      <c r="G2463" s="29"/>
      <c r="H2463" s="29"/>
    </row>
    <row r="2464" spans="1:8" x14ac:dyDescent="0.25">
      <c r="A2464" s="23" t="s">
        <v>2026</v>
      </c>
      <c r="B2464" s="23" t="s">
        <v>2</v>
      </c>
      <c r="C2464" s="29"/>
      <c r="D2464" s="29"/>
      <c r="E2464" s="29"/>
      <c r="F2464" s="29"/>
      <c r="G2464" s="29"/>
      <c r="H2464" s="29"/>
    </row>
    <row r="2465" spans="1:8" x14ac:dyDescent="0.25">
      <c r="A2465" s="30" t="s">
        <v>3112</v>
      </c>
      <c r="B2465" s="30" t="s">
        <v>3113</v>
      </c>
      <c r="C2465" s="31">
        <v>0</v>
      </c>
      <c r="D2465" s="31">
        <v>0</v>
      </c>
      <c r="E2465" s="31">
        <v>0</v>
      </c>
      <c r="F2465" s="31">
        <v>600000</v>
      </c>
      <c r="G2465" s="67">
        <v>600000</v>
      </c>
      <c r="H2465" s="29"/>
    </row>
    <row r="2466" spans="1:8" x14ac:dyDescent="0.25">
      <c r="A2466" s="30" t="s">
        <v>3114</v>
      </c>
      <c r="B2466" s="30" t="s">
        <v>3115</v>
      </c>
      <c r="C2466" s="31">
        <v>0</v>
      </c>
      <c r="D2466" s="31">
        <v>0</v>
      </c>
      <c r="E2466" s="31">
        <v>0</v>
      </c>
      <c r="F2466" s="31">
        <v>36517.96</v>
      </c>
      <c r="G2466" s="67">
        <v>36517.96</v>
      </c>
      <c r="H2466" s="29"/>
    </row>
    <row r="2467" spans="1:8" ht="24" x14ac:dyDescent="0.25">
      <c r="A2467" s="23" t="s">
        <v>1859</v>
      </c>
      <c r="B2467" s="23" t="s">
        <v>2</v>
      </c>
      <c r="C2467" s="32">
        <v>0</v>
      </c>
      <c r="D2467" s="32">
        <v>0</v>
      </c>
      <c r="E2467" s="32">
        <f>E2465+E2466</f>
        <v>0</v>
      </c>
      <c r="F2467" s="32">
        <f>SUM(F2465:F2466)</f>
        <v>636517.96</v>
      </c>
      <c r="G2467" s="32">
        <f>SUM(G2465:G2466)</f>
        <v>636517.96</v>
      </c>
      <c r="H2467" s="29"/>
    </row>
    <row r="2468" spans="1:8" x14ac:dyDescent="0.25">
      <c r="A2468" s="1" t="s">
        <v>740</v>
      </c>
      <c r="B2468" s="1" t="s">
        <v>2</v>
      </c>
      <c r="C2468" s="1" t="s">
        <v>2</v>
      </c>
      <c r="D2468" s="1" t="s">
        <v>2</v>
      </c>
      <c r="E2468" s="1"/>
      <c r="F2468" s="1" t="s">
        <v>2</v>
      </c>
      <c r="G2468" s="1" t="s">
        <v>2</v>
      </c>
    </row>
    <row r="2469" spans="1:8" ht="15" customHeight="1" x14ac:dyDescent="0.25">
      <c r="A2469" s="1" t="s">
        <v>1854</v>
      </c>
      <c r="B2469" s="1" t="s">
        <v>2</v>
      </c>
    </row>
    <row r="2470" spans="1:8" ht="15" customHeight="1" x14ac:dyDescent="0.25">
      <c r="A2470" s="2" t="s">
        <v>1855</v>
      </c>
      <c r="B2470" s="2" t="s">
        <v>1856</v>
      </c>
      <c r="C2470" s="3">
        <v>106024.27</v>
      </c>
      <c r="D2470" s="3">
        <v>9154.64</v>
      </c>
      <c r="E2470" s="3">
        <v>14758.14</v>
      </c>
      <c r="F2470" s="3">
        <v>4150000</v>
      </c>
      <c r="G2470" s="5">
        <v>5200000</v>
      </c>
    </row>
    <row r="2471" spans="1:8" ht="15" customHeight="1" x14ac:dyDescent="0.25">
      <c r="A2471" s="2" t="s">
        <v>1857</v>
      </c>
      <c r="B2471" s="2" t="s">
        <v>1858</v>
      </c>
      <c r="C2471" s="3">
        <v>3416</v>
      </c>
      <c r="D2471" s="3">
        <v>13091.84</v>
      </c>
      <c r="E2471" s="3">
        <v>13091.84</v>
      </c>
      <c r="F2471" s="3">
        <v>0</v>
      </c>
      <c r="G2471" s="5">
        <v>0</v>
      </c>
    </row>
    <row r="2472" spans="1:8" ht="15" customHeight="1" x14ac:dyDescent="0.25">
      <c r="A2472" s="1" t="s">
        <v>1859</v>
      </c>
      <c r="B2472" s="1" t="s">
        <v>2</v>
      </c>
      <c r="C2472" s="4">
        <v>109440.27</v>
      </c>
      <c r="D2472" s="4">
        <v>22246.48</v>
      </c>
      <c r="E2472" s="4">
        <f>E2470+E2471</f>
        <v>27849.98</v>
      </c>
      <c r="F2472" s="6">
        <f>SUM(F2470:F2471)</f>
        <v>4150000</v>
      </c>
      <c r="G2472" s="6">
        <f>SUM(G2470:G2471)</f>
        <v>5200000</v>
      </c>
    </row>
    <row r="2473" spans="1:8" ht="15" customHeight="1" x14ac:dyDescent="0.25">
      <c r="A2473" s="25" t="s">
        <v>3116</v>
      </c>
      <c r="B2473" s="25"/>
      <c r="C2473" s="33">
        <f>C2462+C2467-C2472</f>
        <v>3509975.18</v>
      </c>
      <c r="D2473" s="33">
        <f>D2462+D2467-D2472</f>
        <v>3487728.7</v>
      </c>
      <c r="E2473" s="33">
        <f>E2462+E2467-E2472</f>
        <v>3482125.2</v>
      </c>
      <c r="F2473" s="33">
        <f t="shared" ref="F2473:G2473" si="67">F2462+F2467-F2472</f>
        <v>-3506.8599999998696</v>
      </c>
      <c r="G2473" s="33">
        <f t="shared" si="67"/>
        <v>-4566988.9000000004</v>
      </c>
      <c r="H2473" s="25"/>
    </row>
    <row r="2474" spans="1:8" x14ac:dyDescent="0.25">
      <c r="A2474" s="1" t="s">
        <v>2</v>
      </c>
      <c r="B2474" s="1" t="s">
        <v>2</v>
      </c>
      <c r="C2474" s="1" t="s">
        <v>2</v>
      </c>
      <c r="D2474" s="1" t="s">
        <v>2</v>
      </c>
      <c r="E2474" s="1"/>
      <c r="F2474" s="1" t="s">
        <v>2</v>
      </c>
      <c r="G2474" s="1" t="s">
        <v>2</v>
      </c>
    </row>
    <row r="2475" spans="1:8" ht="15" customHeight="1" x14ac:dyDescent="0.25">
      <c r="A2475" s="27" t="s">
        <v>3117</v>
      </c>
      <c r="B2475" s="27"/>
      <c r="C2475" s="28">
        <v>411517.96</v>
      </c>
      <c r="D2475" s="28">
        <v>407993.67</v>
      </c>
      <c r="E2475" s="28">
        <v>407993.67</v>
      </c>
      <c r="F2475" s="28">
        <v>407993.67</v>
      </c>
      <c r="G2475" s="28">
        <f>F2486</f>
        <v>371475.70999999996</v>
      </c>
      <c r="H2475" s="27"/>
    </row>
    <row r="2476" spans="1:8" x14ac:dyDescent="0.25">
      <c r="A2476" s="23" t="s">
        <v>1860</v>
      </c>
      <c r="B2476" s="23" t="s">
        <v>2</v>
      </c>
      <c r="C2476" s="29"/>
      <c r="D2476" s="29"/>
      <c r="E2476" s="29"/>
      <c r="F2476" s="29"/>
      <c r="G2476" s="29"/>
      <c r="H2476" s="29"/>
    </row>
    <row r="2477" spans="1:8" x14ac:dyDescent="0.25">
      <c r="A2477" s="23" t="s">
        <v>2026</v>
      </c>
      <c r="B2477" s="23" t="s">
        <v>2</v>
      </c>
      <c r="C2477" s="29"/>
      <c r="D2477" s="29"/>
      <c r="E2477" s="29"/>
      <c r="F2477" s="29"/>
      <c r="G2477" s="29"/>
      <c r="H2477" s="29"/>
    </row>
    <row r="2478" spans="1:8" x14ac:dyDescent="0.25">
      <c r="A2478" s="30" t="s">
        <v>3118</v>
      </c>
      <c r="B2478" s="30" t="s">
        <v>3119</v>
      </c>
      <c r="C2478" s="31">
        <v>0</v>
      </c>
      <c r="D2478" s="31">
        <v>0</v>
      </c>
      <c r="E2478" s="31">
        <v>0</v>
      </c>
      <c r="F2478" s="31">
        <v>0</v>
      </c>
      <c r="G2478" s="31">
        <v>0</v>
      </c>
      <c r="H2478" s="29" t="s">
        <v>3449</v>
      </c>
    </row>
    <row r="2479" spans="1:8" x14ac:dyDescent="0.25">
      <c r="A2479" s="30" t="s">
        <v>3120</v>
      </c>
      <c r="B2479" s="30" t="s">
        <v>3121</v>
      </c>
      <c r="C2479" s="31">
        <v>0</v>
      </c>
      <c r="D2479" s="31">
        <v>0</v>
      </c>
      <c r="E2479" s="31">
        <v>0</v>
      </c>
      <c r="F2479" s="31">
        <v>0</v>
      </c>
      <c r="G2479" s="31">
        <v>0</v>
      </c>
      <c r="H2479" s="29"/>
    </row>
    <row r="2480" spans="1:8" x14ac:dyDescent="0.25">
      <c r="A2480" s="23" t="s">
        <v>1865</v>
      </c>
      <c r="B2480" s="23" t="s">
        <v>2</v>
      </c>
      <c r="C2480" s="32">
        <v>0</v>
      </c>
      <c r="D2480" s="32">
        <v>0</v>
      </c>
      <c r="E2480" s="32">
        <f>E2478+E2479</f>
        <v>0</v>
      </c>
      <c r="F2480" s="32">
        <f>SUM(F2478:F2479)</f>
        <v>0</v>
      </c>
      <c r="G2480" s="32">
        <f>SUM(G2478:G2479)</f>
        <v>0</v>
      </c>
      <c r="H2480" s="29"/>
    </row>
    <row r="2481" spans="1:8" x14ac:dyDescent="0.25">
      <c r="A2481" s="1" t="s">
        <v>740</v>
      </c>
      <c r="B2481" s="1"/>
      <c r="C2481" s="4"/>
      <c r="D2481" s="4"/>
      <c r="E2481" s="4"/>
      <c r="F2481" s="6"/>
      <c r="G2481" s="6"/>
    </row>
    <row r="2482" spans="1:8" x14ac:dyDescent="0.25">
      <c r="A2482" s="1" t="s">
        <v>1860</v>
      </c>
      <c r="B2482" s="1" t="s">
        <v>2</v>
      </c>
      <c r="C2482" s="40"/>
      <c r="F2482" s="40"/>
    </row>
    <row r="2483" spans="1:8" x14ac:dyDescent="0.25">
      <c r="A2483" s="2" t="s">
        <v>1861</v>
      </c>
      <c r="B2483" s="2" t="s">
        <v>1862</v>
      </c>
      <c r="C2483" s="3">
        <v>3524.29</v>
      </c>
      <c r="D2483" s="3">
        <v>335522.24</v>
      </c>
      <c r="E2483" s="3">
        <v>335527.90000000002</v>
      </c>
      <c r="F2483" s="3">
        <v>0</v>
      </c>
      <c r="G2483" s="5">
        <v>0</v>
      </c>
    </row>
    <row r="2484" spans="1:8" ht="15" customHeight="1" x14ac:dyDescent="0.25">
      <c r="A2484" s="2" t="s">
        <v>1863</v>
      </c>
      <c r="B2484" s="2" t="s">
        <v>1864</v>
      </c>
      <c r="C2484" s="3">
        <v>0</v>
      </c>
      <c r="D2484" s="3">
        <v>0</v>
      </c>
      <c r="E2484" s="3">
        <v>0</v>
      </c>
      <c r="F2484" s="3">
        <v>36517.96</v>
      </c>
      <c r="G2484" s="5">
        <v>0</v>
      </c>
    </row>
    <row r="2485" spans="1:8" ht="15" customHeight="1" x14ac:dyDescent="0.25">
      <c r="A2485" s="1" t="s">
        <v>1865</v>
      </c>
      <c r="B2485" s="1" t="s">
        <v>2</v>
      </c>
      <c r="C2485" s="4">
        <v>3524.29</v>
      </c>
      <c r="D2485" s="4">
        <v>335522.24</v>
      </c>
      <c r="E2485" s="4">
        <f>E2483+E2484</f>
        <v>335527.90000000002</v>
      </c>
      <c r="F2485" s="6">
        <f>SUM(F2483:F2484)</f>
        <v>36517.96</v>
      </c>
      <c r="G2485" s="6">
        <f>SUM(G2483:G2484)</f>
        <v>0</v>
      </c>
    </row>
    <row r="2486" spans="1:8" ht="15" customHeight="1" x14ac:dyDescent="0.25">
      <c r="A2486" s="25" t="s">
        <v>3122</v>
      </c>
      <c r="B2486" s="25"/>
      <c r="C2486" s="33">
        <f>C2475+C2480-C2485</f>
        <v>407993.67000000004</v>
      </c>
      <c r="D2486" s="33">
        <f t="shared" ref="D2486:G2486" si="68">D2475+D2480-D2485</f>
        <v>72471.429999999993</v>
      </c>
      <c r="E2486" s="33">
        <f t="shared" si="68"/>
        <v>72465.76999999996</v>
      </c>
      <c r="F2486" s="33">
        <f t="shared" si="68"/>
        <v>371475.70999999996</v>
      </c>
      <c r="G2486" s="33">
        <f t="shared" si="68"/>
        <v>371475.70999999996</v>
      </c>
      <c r="H2486" s="25"/>
    </row>
    <row r="2487" spans="1:8" x14ac:dyDescent="0.25">
      <c r="A2487" s="1" t="s">
        <v>2</v>
      </c>
      <c r="B2487" s="1" t="s">
        <v>2</v>
      </c>
      <c r="C2487" s="1" t="s">
        <v>2</v>
      </c>
      <c r="D2487" s="1" t="s">
        <v>2</v>
      </c>
      <c r="E2487" s="1"/>
      <c r="F2487" s="1" t="s">
        <v>2</v>
      </c>
      <c r="G2487" s="1" t="s">
        <v>2</v>
      </c>
    </row>
    <row r="2488" spans="1:8" ht="15" customHeight="1" x14ac:dyDescent="0.25">
      <c r="A2488" s="27" t="s">
        <v>3123</v>
      </c>
      <c r="B2488" s="27"/>
      <c r="C2488" s="28">
        <v>-1017297.35</v>
      </c>
      <c r="D2488" s="28">
        <v>1185922.51</v>
      </c>
      <c r="E2488" s="28">
        <v>1185922.51</v>
      </c>
      <c r="F2488" s="28">
        <v>1185922.51</v>
      </c>
      <c r="G2488" s="28">
        <f>F2504</f>
        <v>1165922.5099999998</v>
      </c>
      <c r="H2488" s="27"/>
    </row>
    <row r="2489" spans="1:8" ht="24" x14ac:dyDescent="0.25">
      <c r="A2489" s="23" t="s">
        <v>1866</v>
      </c>
      <c r="B2489" s="23" t="s">
        <v>2</v>
      </c>
      <c r="C2489" s="29"/>
      <c r="D2489" s="29"/>
      <c r="E2489" s="29"/>
      <c r="F2489" s="29"/>
      <c r="G2489" s="29"/>
      <c r="H2489" s="29"/>
    </row>
    <row r="2490" spans="1:8" x14ac:dyDescent="0.25">
      <c r="A2490" s="23" t="s">
        <v>2026</v>
      </c>
      <c r="B2490" s="23" t="s">
        <v>2</v>
      </c>
      <c r="C2490" s="29"/>
      <c r="D2490" s="29"/>
      <c r="E2490" s="29"/>
      <c r="F2490" s="29"/>
      <c r="G2490" s="29"/>
      <c r="H2490" s="29"/>
    </row>
    <row r="2491" spans="1:8" x14ac:dyDescent="0.25">
      <c r="A2491" s="30" t="s">
        <v>3124</v>
      </c>
      <c r="B2491" s="30" t="s">
        <v>3125</v>
      </c>
      <c r="C2491" s="31">
        <v>876177.06</v>
      </c>
      <c r="D2491" s="31">
        <v>31036.36</v>
      </c>
      <c r="E2491" s="31">
        <v>31036.36</v>
      </c>
      <c r="F2491" s="31">
        <v>0</v>
      </c>
      <c r="G2491" s="31">
        <v>0</v>
      </c>
      <c r="H2491" s="29" t="s">
        <v>3449</v>
      </c>
    </row>
    <row r="2492" spans="1:8" x14ac:dyDescent="0.25">
      <c r="A2492" s="30" t="s">
        <v>3126</v>
      </c>
      <c r="B2492" s="30" t="s">
        <v>3127</v>
      </c>
      <c r="C2492" s="31">
        <v>1100000</v>
      </c>
      <c r="D2492" s="31">
        <v>0</v>
      </c>
      <c r="E2492" s="31">
        <v>0</v>
      </c>
      <c r="F2492" s="31">
        <v>2000000</v>
      </c>
      <c r="G2492" s="31">
        <v>0</v>
      </c>
      <c r="H2492" s="29"/>
    </row>
    <row r="2493" spans="1:8" x14ac:dyDescent="0.25">
      <c r="A2493" s="30" t="s">
        <v>3128</v>
      </c>
      <c r="B2493" s="30" t="s">
        <v>3129</v>
      </c>
      <c r="C2493" s="31">
        <v>11163088.470000001</v>
      </c>
      <c r="D2493" s="31">
        <v>1234658.21</v>
      </c>
      <c r="E2493" s="31">
        <v>1804384.84</v>
      </c>
      <c r="F2493" s="31">
        <v>2215000</v>
      </c>
      <c r="G2493" s="31">
        <v>0</v>
      </c>
      <c r="H2493" s="29"/>
    </row>
    <row r="2494" spans="1:8" x14ac:dyDescent="0.25">
      <c r="A2494" s="30" t="s">
        <v>3130</v>
      </c>
      <c r="B2494" s="30" t="s">
        <v>3131</v>
      </c>
      <c r="C2494" s="31">
        <v>0</v>
      </c>
      <c r="D2494" s="31">
        <v>0</v>
      </c>
      <c r="E2494" s="31">
        <v>0</v>
      </c>
      <c r="F2494" s="31">
        <v>0</v>
      </c>
      <c r="G2494" s="31">
        <v>0</v>
      </c>
      <c r="H2494" s="29"/>
    </row>
    <row r="2495" spans="1:8" ht="24" x14ac:dyDescent="0.25">
      <c r="A2495" s="23" t="s">
        <v>1877</v>
      </c>
      <c r="B2495" s="23" t="s">
        <v>2</v>
      </c>
      <c r="C2495" s="32">
        <v>13139265.529999999</v>
      </c>
      <c r="D2495" s="32">
        <v>1265694.57</v>
      </c>
      <c r="E2495" s="32">
        <f>SUM(E2491:E2494)</f>
        <v>1835421.2000000002</v>
      </c>
      <c r="F2495" s="32">
        <f>SUM(F2491:F2494)</f>
        <v>4215000</v>
      </c>
      <c r="G2495" s="32">
        <f>SUM(G2491:G2494)</f>
        <v>0</v>
      </c>
      <c r="H2495" s="29"/>
    </row>
    <row r="2496" spans="1:8" x14ac:dyDescent="0.25">
      <c r="A2496" s="1" t="s">
        <v>740</v>
      </c>
      <c r="B2496" s="1"/>
      <c r="C2496" s="4"/>
      <c r="D2496" s="4"/>
      <c r="E2496" s="4"/>
      <c r="F2496" s="6"/>
      <c r="G2496" s="6"/>
    </row>
    <row r="2497" spans="1:8" ht="15" customHeight="1" x14ac:dyDescent="0.25">
      <c r="A2497" s="1" t="s">
        <v>1866</v>
      </c>
      <c r="B2497" s="1" t="s">
        <v>2</v>
      </c>
      <c r="C2497" s="40"/>
      <c r="F2497" s="40"/>
    </row>
    <row r="2498" spans="1:8" ht="15" customHeight="1" x14ac:dyDescent="0.25">
      <c r="A2498" s="2" t="s">
        <v>1867</v>
      </c>
      <c r="B2498" s="2" t="s">
        <v>1868</v>
      </c>
      <c r="C2498" s="3">
        <v>9834808.1699999999</v>
      </c>
      <c r="D2498" s="3">
        <v>1500400.9</v>
      </c>
      <c r="E2498" s="3">
        <v>2823223.32</v>
      </c>
      <c r="F2498" s="3">
        <v>2215000</v>
      </c>
      <c r="G2498" s="5">
        <v>0</v>
      </c>
    </row>
    <row r="2499" spans="1:8" ht="15" customHeight="1" x14ac:dyDescent="0.25">
      <c r="A2499" s="2" t="s">
        <v>1869</v>
      </c>
      <c r="B2499" s="2" t="s">
        <v>1870</v>
      </c>
      <c r="C2499" s="3">
        <v>0</v>
      </c>
      <c r="D2499" s="3">
        <v>0</v>
      </c>
      <c r="E2499" s="3">
        <v>0</v>
      </c>
      <c r="F2499" s="3">
        <v>0</v>
      </c>
      <c r="G2499" s="5">
        <v>0</v>
      </c>
    </row>
    <row r="2500" spans="1:8" ht="15" customHeight="1" x14ac:dyDescent="0.25">
      <c r="A2500" s="2" t="s">
        <v>1871</v>
      </c>
      <c r="B2500" s="2" t="s">
        <v>1872</v>
      </c>
      <c r="C2500" s="3">
        <v>1100000</v>
      </c>
      <c r="D2500" s="3">
        <v>0</v>
      </c>
      <c r="E2500" s="3">
        <v>0</v>
      </c>
      <c r="F2500" s="3">
        <v>2000000</v>
      </c>
      <c r="G2500" s="5">
        <v>0</v>
      </c>
    </row>
    <row r="2501" spans="1:8" x14ac:dyDescent="0.25">
      <c r="A2501" s="2" t="s">
        <v>1873</v>
      </c>
      <c r="B2501" s="2" t="s">
        <v>1874</v>
      </c>
      <c r="C2501" s="3">
        <v>0</v>
      </c>
      <c r="D2501" s="3">
        <v>0</v>
      </c>
      <c r="E2501" s="3">
        <v>0</v>
      </c>
      <c r="F2501" s="3">
        <v>0</v>
      </c>
      <c r="G2501" s="5">
        <v>0</v>
      </c>
    </row>
    <row r="2502" spans="1:8" ht="15" customHeight="1" x14ac:dyDescent="0.25">
      <c r="A2502" s="2" t="s">
        <v>1875</v>
      </c>
      <c r="B2502" s="2" t="s">
        <v>1876</v>
      </c>
      <c r="C2502" s="3">
        <v>1237.5</v>
      </c>
      <c r="D2502" s="3">
        <v>0</v>
      </c>
      <c r="E2502" s="3">
        <v>0</v>
      </c>
      <c r="F2502" s="3">
        <v>20000</v>
      </c>
      <c r="G2502" s="5">
        <v>0</v>
      </c>
    </row>
    <row r="2503" spans="1:8" ht="24" x14ac:dyDescent="0.25">
      <c r="A2503" s="1" t="s">
        <v>1877</v>
      </c>
      <c r="B2503" s="1" t="s">
        <v>2</v>
      </c>
      <c r="C2503" s="4">
        <v>10936045.67</v>
      </c>
      <c r="D2503" s="4">
        <v>1500400.9</v>
      </c>
      <c r="E2503" s="4">
        <f>SUM(E2498:E2502)</f>
        <v>2823223.32</v>
      </c>
      <c r="F2503" s="6">
        <f>SUM(F2498:F2502)</f>
        <v>4235000</v>
      </c>
      <c r="G2503" s="6">
        <f>SUM(G2498:G2502)</f>
        <v>0</v>
      </c>
    </row>
    <row r="2504" spans="1:8" ht="15" customHeight="1" x14ac:dyDescent="0.25">
      <c r="A2504" s="25" t="s">
        <v>3132</v>
      </c>
      <c r="B2504" s="25"/>
      <c r="C2504" s="33">
        <f>C2488+C2495-C2503</f>
        <v>1185922.5099999998</v>
      </c>
      <c r="D2504" s="33">
        <f t="shared" ref="D2504:G2504" si="69">D2488+D2495-D2503</f>
        <v>951216.18000000017</v>
      </c>
      <c r="E2504" s="33">
        <f t="shared" si="69"/>
        <v>198120.39000000013</v>
      </c>
      <c r="F2504" s="33">
        <f t="shared" si="69"/>
        <v>1165922.5099999998</v>
      </c>
      <c r="G2504" s="33">
        <f t="shared" si="69"/>
        <v>1165922.5099999998</v>
      </c>
      <c r="H2504" s="25"/>
    </row>
    <row r="2505" spans="1:8" x14ac:dyDescent="0.25">
      <c r="A2505" s="1" t="s">
        <v>2</v>
      </c>
      <c r="B2505" s="1" t="s">
        <v>2</v>
      </c>
      <c r="C2505" s="1" t="s">
        <v>2</v>
      </c>
      <c r="D2505" s="1" t="s">
        <v>2</v>
      </c>
      <c r="E2505" s="1"/>
      <c r="F2505" s="1" t="s">
        <v>2</v>
      </c>
      <c r="G2505" s="1" t="s">
        <v>2</v>
      </c>
    </row>
    <row r="2506" spans="1:8" ht="15" customHeight="1" x14ac:dyDescent="0.25">
      <c r="A2506" s="27" t="s">
        <v>3133</v>
      </c>
      <c r="B2506" s="27"/>
      <c r="C2506" s="28">
        <v>97166.23</v>
      </c>
      <c r="D2506" s="28">
        <v>100143.52</v>
      </c>
      <c r="E2506" s="28">
        <v>100143.52</v>
      </c>
      <c r="F2506" s="28">
        <v>100143.52</v>
      </c>
      <c r="G2506" s="28">
        <f>F2548</f>
        <v>35067.140000000014</v>
      </c>
      <c r="H2506" s="27"/>
    </row>
    <row r="2507" spans="1:8" x14ac:dyDescent="0.25">
      <c r="A2507" s="23" t="s">
        <v>41</v>
      </c>
      <c r="B2507" s="23" t="s">
        <v>2</v>
      </c>
      <c r="C2507" s="29"/>
      <c r="D2507" s="29"/>
      <c r="E2507" s="29"/>
      <c r="F2507" s="29"/>
      <c r="G2507" s="29"/>
      <c r="H2507" s="29"/>
    </row>
    <row r="2508" spans="1:8" x14ac:dyDescent="0.25">
      <c r="A2508" s="23" t="s">
        <v>2026</v>
      </c>
      <c r="B2508" s="23" t="s">
        <v>2</v>
      </c>
      <c r="C2508" s="29"/>
      <c r="D2508" s="29"/>
      <c r="E2508" s="29"/>
      <c r="F2508" s="29"/>
      <c r="G2508" s="29"/>
      <c r="H2508" s="29"/>
    </row>
    <row r="2509" spans="1:8" x14ac:dyDescent="0.25">
      <c r="A2509" s="23" t="s">
        <v>2102</v>
      </c>
      <c r="B2509" s="23" t="s">
        <v>2</v>
      </c>
      <c r="C2509" s="29"/>
      <c r="D2509" s="29"/>
      <c r="E2509" s="29"/>
      <c r="F2509" s="29"/>
      <c r="G2509" s="29"/>
      <c r="H2509" s="29"/>
    </row>
    <row r="2510" spans="1:8" x14ac:dyDescent="0.25">
      <c r="A2510" s="30" t="s">
        <v>3134</v>
      </c>
      <c r="B2510" s="30" t="s">
        <v>2608</v>
      </c>
      <c r="C2510" s="31">
        <v>0</v>
      </c>
      <c r="D2510" s="31">
        <v>0</v>
      </c>
      <c r="E2510" s="31">
        <v>0</v>
      </c>
      <c r="F2510" s="31">
        <v>0</v>
      </c>
      <c r="G2510" s="31">
        <v>0</v>
      </c>
      <c r="H2510" s="29"/>
    </row>
    <row r="2511" spans="1:8" x14ac:dyDescent="0.25">
      <c r="A2511" s="30" t="s">
        <v>3135</v>
      </c>
      <c r="B2511" s="30" t="s">
        <v>3136</v>
      </c>
      <c r="C2511" s="31">
        <v>2977.29</v>
      </c>
      <c r="D2511" s="31">
        <v>0</v>
      </c>
      <c r="E2511" s="31">
        <v>0</v>
      </c>
      <c r="F2511" s="31">
        <v>0</v>
      </c>
      <c r="G2511" s="31">
        <v>0</v>
      </c>
      <c r="H2511" s="29"/>
    </row>
    <row r="2512" spans="1:8" ht="24" x14ac:dyDescent="0.25">
      <c r="A2512" s="23" t="s">
        <v>2174</v>
      </c>
      <c r="B2512" s="23" t="s">
        <v>2</v>
      </c>
      <c r="C2512" s="32">
        <v>2977.29</v>
      </c>
      <c r="D2512" s="32">
        <v>0</v>
      </c>
      <c r="E2512" s="32">
        <f>E2510+E2511</f>
        <v>0</v>
      </c>
      <c r="F2512" s="32">
        <f>SUM(F2510:F2511)</f>
        <v>0</v>
      </c>
      <c r="G2512" s="32">
        <f>SUM(G2510:G2511)</f>
        <v>0</v>
      </c>
      <c r="H2512" s="29"/>
    </row>
    <row r="2513" spans="1:8" x14ac:dyDescent="0.25">
      <c r="A2513" s="23" t="s">
        <v>2</v>
      </c>
      <c r="B2513" s="23" t="s">
        <v>2</v>
      </c>
      <c r="C2513" s="23" t="s">
        <v>2</v>
      </c>
      <c r="D2513" s="23" t="s">
        <v>2</v>
      </c>
      <c r="E2513" s="23"/>
      <c r="F2513" s="23" t="s">
        <v>2</v>
      </c>
      <c r="G2513" s="23" t="s">
        <v>2</v>
      </c>
      <c r="H2513" s="29"/>
    </row>
    <row r="2514" spans="1:8" x14ac:dyDescent="0.25">
      <c r="A2514" s="30" t="s">
        <v>3137</v>
      </c>
      <c r="B2514" s="30" t="s">
        <v>3138</v>
      </c>
      <c r="C2514" s="31">
        <v>270248.07</v>
      </c>
      <c r="D2514" s="31">
        <v>223423.62</v>
      </c>
      <c r="E2514" s="31">
        <v>223423.62</v>
      </c>
      <c r="F2514" s="31">
        <v>223423.62</v>
      </c>
      <c r="G2514" s="31">
        <f>G311+G327+G358+G378+G394+G418+G441+G542+G579+G608+G661+G698+G750+G1084+G1776+G1995+G2328+G2613</f>
        <v>252467.3</v>
      </c>
      <c r="H2514" s="60"/>
    </row>
    <row r="2515" spans="1:8" x14ac:dyDescent="0.25">
      <c r="A2515" s="30"/>
      <c r="B2515" s="30"/>
      <c r="C2515" s="31"/>
      <c r="D2515" s="31"/>
      <c r="E2515" s="31"/>
      <c r="F2515" s="31"/>
      <c r="G2515" s="31"/>
      <c r="H2515" s="60"/>
    </row>
    <row r="2516" spans="1:8" x14ac:dyDescent="0.25">
      <c r="A2516" s="23" t="s">
        <v>2176</v>
      </c>
      <c r="B2516" s="23" t="s">
        <v>2</v>
      </c>
      <c r="C2516" s="29"/>
      <c r="D2516" s="29"/>
      <c r="E2516" s="29"/>
      <c r="F2516" s="29"/>
      <c r="G2516" s="29"/>
      <c r="H2516" s="29"/>
    </row>
    <row r="2517" spans="1:8" x14ac:dyDescent="0.25">
      <c r="A2517" s="30" t="s">
        <v>3139</v>
      </c>
      <c r="B2517" s="30" t="s">
        <v>2409</v>
      </c>
      <c r="C2517" s="31">
        <v>0</v>
      </c>
      <c r="D2517" s="31">
        <v>0</v>
      </c>
      <c r="E2517" s="31">
        <v>0</v>
      </c>
      <c r="F2517" s="31">
        <v>0</v>
      </c>
      <c r="G2517" s="31">
        <v>0</v>
      </c>
      <c r="H2517" s="29"/>
    </row>
    <row r="2518" spans="1:8" ht="24" x14ac:dyDescent="0.25">
      <c r="A2518" s="23" t="s">
        <v>2179</v>
      </c>
      <c r="B2518" s="23" t="s">
        <v>2</v>
      </c>
      <c r="C2518" s="32">
        <v>0</v>
      </c>
      <c r="D2518" s="32">
        <v>0</v>
      </c>
      <c r="E2518" s="32">
        <f>E2517</f>
        <v>0</v>
      </c>
      <c r="F2518" s="32">
        <f>SUM(F2517)</f>
        <v>0</v>
      </c>
      <c r="G2518" s="32">
        <f>SUM(G2517)</f>
        <v>0</v>
      </c>
      <c r="H2518" s="29"/>
    </row>
    <row r="2519" spans="1:8" x14ac:dyDescent="0.25">
      <c r="A2519" s="23" t="s">
        <v>2</v>
      </c>
      <c r="B2519" s="23" t="s">
        <v>2</v>
      </c>
      <c r="C2519" s="23" t="s">
        <v>2</v>
      </c>
      <c r="D2519" s="23" t="s">
        <v>2</v>
      </c>
      <c r="E2519" s="23"/>
      <c r="F2519" s="23" t="s">
        <v>2</v>
      </c>
      <c r="G2519" s="23" t="s">
        <v>2</v>
      </c>
      <c r="H2519" s="29"/>
    </row>
    <row r="2520" spans="1:8" x14ac:dyDescent="0.25">
      <c r="A2520" s="23" t="s">
        <v>3140</v>
      </c>
      <c r="B2520" s="23" t="s">
        <v>2</v>
      </c>
      <c r="C2520" s="29"/>
      <c r="D2520" s="29"/>
      <c r="E2520" s="29"/>
      <c r="F2520" s="29"/>
      <c r="G2520" s="29"/>
      <c r="H2520" s="29"/>
    </row>
    <row r="2521" spans="1:8" x14ac:dyDescent="0.25">
      <c r="A2521" s="30" t="s">
        <v>3141</v>
      </c>
      <c r="B2521" s="30" t="s">
        <v>3138</v>
      </c>
      <c r="C2521" s="31">
        <v>0</v>
      </c>
      <c r="D2521" s="31">
        <v>0</v>
      </c>
      <c r="E2521" s="31">
        <v>0</v>
      </c>
      <c r="F2521" s="31">
        <v>0</v>
      </c>
      <c r="G2521" s="31">
        <v>0</v>
      </c>
      <c r="H2521" s="29"/>
    </row>
    <row r="2522" spans="1:8" x14ac:dyDescent="0.25">
      <c r="A2522" s="23" t="s">
        <v>3142</v>
      </c>
      <c r="B2522" s="23" t="s">
        <v>2</v>
      </c>
      <c r="C2522" s="32">
        <v>0</v>
      </c>
      <c r="D2522" s="32">
        <v>0</v>
      </c>
      <c r="E2522" s="32">
        <f>E2521</f>
        <v>0</v>
      </c>
      <c r="F2522" s="32">
        <f>SUM(F2521)</f>
        <v>0</v>
      </c>
      <c r="G2522" s="32">
        <f>SUM(G2521)</f>
        <v>0</v>
      </c>
      <c r="H2522" s="29"/>
    </row>
    <row r="2523" spans="1:8" x14ac:dyDescent="0.25">
      <c r="A2523" s="23" t="s">
        <v>2</v>
      </c>
      <c r="B2523" s="23" t="s">
        <v>2</v>
      </c>
      <c r="C2523" s="23" t="s">
        <v>2</v>
      </c>
      <c r="D2523" s="23" t="s">
        <v>2</v>
      </c>
      <c r="E2523" s="23"/>
      <c r="F2523" s="23" t="s">
        <v>2</v>
      </c>
      <c r="G2523" s="23" t="s">
        <v>2</v>
      </c>
      <c r="H2523" s="29"/>
    </row>
    <row r="2524" spans="1:8" x14ac:dyDescent="0.25">
      <c r="A2524" s="23" t="s">
        <v>2724</v>
      </c>
      <c r="B2524" s="23" t="s">
        <v>2</v>
      </c>
      <c r="C2524" s="29"/>
      <c r="D2524" s="29"/>
      <c r="E2524" s="29"/>
      <c r="F2524" s="29"/>
      <c r="G2524" s="29"/>
      <c r="H2524" s="29"/>
    </row>
    <row r="2525" spans="1:8" x14ac:dyDescent="0.25">
      <c r="A2525" s="30" t="s">
        <v>3143</v>
      </c>
      <c r="B2525" s="30" t="s">
        <v>3144</v>
      </c>
      <c r="C2525" s="31">
        <v>0</v>
      </c>
      <c r="D2525" s="31">
        <v>0</v>
      </c>
      <c r="E2525" s="31">
        <v>0</v>
      </c>
      <c r="F2525" s="31">
        <v>20000</v>
      </c>
      <c r="G2525" s="31">
        <v>20000</v>
      </c>
      <c r="H2525" s="29"/>
    </row>
    <row r="2526" spans="1:8" x14ac:dyDescent="0.25">
      <c r="A2526" s="30" t="s">
        <v>3145</v>
      </c>
      <c r="B2526" s="30" t="s">
        <v>3146</v>
      </c>
      <c r="C2526" s="31">
        <v>0</v>
      </c>
      <c r="D2526" s="31">
        <v>0</v>
      </c>
      <c r="E2526" s="31">
        <v>0</v>
      </c>
      <c r="F2526" s="31">
        <v>100000</v>
      </c>
      <c r="G2526" s="31">
        <v>100000</v>
      </c>
      <c r="H2526" s="29" t="s">
        <v>149</v>
      </c>
    </row>
    <row r="2527" spans="1:8" x14ac:dyDescent="0.25">
      <c r="A2527" s="23" t="s">
        <v>2725</v>
      </c>
      <c r="B2527" s="23" t="s">
        <v>2</v>
      </c>
      <c r="C2527" s="32">
        <v>0</v>
      </c>
      <c r="D2527" s="32">
        <v>0</v>
      </c>
      <c r="E2527" s="32">
        <f>E2525+E2526</f>
        <v>0</v>
      </c>
      <c r="F2527" s="32">
        <f>SUM(F2525:F2526)</f>
        <v>120000</v>
      </c>
      <c r="G2527" s="32">
        <f>SUM(G2525:G2526)</f>
        <v>120000</v>
      </c>
      <c r="H2527" s="29"/>
    </row>
    <row r="2528" spans="1:8" x14ac:dyDescent="0.25">
      <c r="A2528" s="23" t="s">
        <v>2</v>
      </c>
      <c r="B2528" s="23" t="s">
        <v>2</v>
      </c>
      <c r="C2528" s="23" t="s">
        <v>2</v>
      </c>
      <c r="D2528" s="23" t="s">
        <v>2</v>
      </c>
      <c r="E2528" s="23"/>
      <c r="F2528" s="23" t="s">
        <v>2</v>
      </c>
      <c r="G2528" s="23" t="s">
        <v>2</v>
      </c>
      <c r="H2528" s="29"/>
    </row>
    <row r="2529" spans="1:8" ht="24" x14ac:dyDescent="0.25">
      <c r="A2529" s="23" t="s">
        <v>1897</v>
      </c>
      <c r="B2529" s="23" t="s">
        <v>2</v>
      </c>
      <c r="C2529" s="32">
        <v>273225.36</v>
      </c>
      <c r="D2529" s="32">
        <v>223423.62</v>
      </c>
      <c r="E2529" s="32">
        <f>E2512+E2514+E2518+E2522+E2527</f>
        <v>223423.62</v>
      </c>
      <c r="F2529" s="32">
        <f>F2512+F2514+F2518+F2522+F2527</f>
        <v>343423.62</v>
      </c>
      <c r="G2529" s="32">
        <f>G2512+G2514+G2518+G2522+G2527</f>
        <v>372467.3</v>
      </c>
      <c r="H2529" s="29"/>
    </row>
    <row r="2530" spans="1:8" x14ac:dyDescent="0.25">
      <c r="A2530" s="1" t="s">
        <v>740</v>
      </c>
      <c r="B2530" s="1" t="s">
        <v>2</v>
      </c>
    </row>
    <row r="2531" spans="1:8" ht="15" customHeight="1" x14ac:dyDescent="0.25">
      <c r="A2531" s="1" t="s">
        <v>41</v>
      </c>
      <c r="B2531" s="1" t="s">
        <v>2</v>
      </c>
      <c r="C2531" s="40"/>
      <c r="F2531" s="40"/>
    </row>
    <row r="2532" spans="1:8" ht="15" customHeight="1" x14ac:dyDescent="0.25">
      <c r="A2532" s="1" t="s">
        <v>1878</v>
      </c>
      <c r="B2532" s="1" t="s">
        <v>2</v>
      </c>
    </row>
    <row r="2533" spans="1:8" ht="15" customHeight="1" x14ac:dyDescent="0.25">
      <c r="A2533" s="2" t="s">
        <v>1879</v>
      </c>
      <c r="B2533" s="2" t="s">
        <v>905</v>
      </c>
      <c r="C2533" s="3">
        <v>8055.64</v>
      </c>
      <c r="D2533" s="3">
        <v>468.92</v>
      </c>
      <c r="E2533" s="3">
        <v>468.92</v>
      </c>
      <c r="F2533" s="3">
        <v>6000</v>
      </c>
      <c r="G2533" s="5">
        <v>6000</v>
      </c>
    </row>
    <row r="2534" spans="1:8" x14ac:dyDescent="0.25">
      <c r="A2534" s="2" t="s">
        <v>1880</v>
      </c>
      <c r="B2534" s="2" t="s">
        <v>1881</v>
      </c>
      <c r="C2534" s="3">
        <v>5823.1</v>
      </c>
      <c r="D2534" s="3">
        <v>38356.019999999997</v>
      </c>
      <c r="E2534" s="3">
        <v>38356.019999999997</v>
      </c>
      <c r="F2534" s="3">
        <v>51500</v>
      </c>
      <c r="G2534" s="5">
        <v>51500</v>
      </c>
    </row>
    <row r="2535" spans="1:8" ht="15" customHeight="1" x14ac:dyDescent="0.25">
      <c r="A2535" s="2" t="s">
        <v>1882</v>
      </c>
      <c r="B2535" s="2" t="s">
        <v>1883</v>
      </c>
      <c r="C2535" s="3">
        <v>5592.78</v>
      </c>
      <c r="D2535" s="3">
        <v>1535.8</v>
      </c>
      <c r="E2535" s="3">
        <v>2565.44</v>
      </c>
      <c r="F2535" s="3">
        <v>11000</v>
      </c>
      <c r="G2535" s="5">
        <v>11000</v>
      </c>
    </row>
    <row r="2536" spans="1:8" ht="15" customHeight="1" x14ac:dyDescent="0.25">
      <c r="A2536" s="2" t="s">
        <v>1884</v>
      </c>
      <c r="B2536" s="2" t="s">
        <v>1885</v>
      </c>
      <c r="C2536" s="3">
        <v>26937.82</v>
      </c>
      <c r="D2536" s="3">
        <v>11710.95</v>
      </c>
      <c r="E2536" s="3">
        <v>20665.349999999999</v>
      </c>
      <c r="F2536" s="3">
        <v>25000</v>
      </c>
      <c r="G2536" s="5">
        <v>25000</v>
      </c>
    </row>
    <row r="2537" spans="1:8" ht="15" customHeight="1" x14ac:dyDescent="0.25">
      <c r="A2537" s="2" t="s">
        <v>1886</v>
      </c>
      <c r="B2537" s="2" t="s">
        <v>1887</v>
      </c>
      <c r="C2537" s="3">
        <v>52804.55</v>
      </c>
      <c r="D2537" s="3">
        <v>22956.79</v>
      </c>
      <c r="E2537" s="3">
        <v>36345.599999999999</v>
      </c>
      <c r="F2537" s="3">
        <v>65000</v>
      </c>
      <c r="G2537" s="5">
        <v>65000</v>
      </c>
    </row>
    <row r="2538" spans="1:8" ht="15" customHeight="1" x14ac:dyDescent="0.25">
      <c r="A2538" s="2" t="s">
        <v>1888</v>
      </c>
      <c r="B2538" s="2" t="s">
        <v>1889</v>
      </c>
      <c r="C2538" s="3">
        <v>158811.59</v>
      </c>
      <c r="D2538" s="3">
        <v>38381.839999999997</v>
      </c>
      <c r="E2538" s="3">
        <v>72983.89</v>
      </c>
      <c r="F2538" s="3">
        <v>125000</v>
      </c>
      <c r="G2538" s="5">
        <v>115000</v>
      </c>
      <c r="H2538" s="41"/>
    </row>
    <row r="2539" spans="1:8" ht="15" customHeight="1" x14ac:dyDescent="0.25">
      <c r="A2539" s="2" t="s">
        <v>1890</v>
      </c>
      <c r="B2539" s="2" t="s">
        <v>1891</v>
      </c>
      <c r="C2539" s="3">
        <v>0</v>
      </c>
      <c r="D2539" s="3">
        <v>0</v>
      </c>
      <c r="E2539" s="3">
        <v>0</v>
      </c>
      <c r="F2539" s="3">
        <v>0</v>
      </c>
      <c r="G2539" s="5">
        <v>0</v>
      </c>
      <c r="H2539" s="41"/>
    </row>
    <row r="2540" spans="1:8" ht="24" x14ac:dyDescent="0.25">
      <c r="A2540" s="2" t="s">
        <v>1892</v>
      </c>
      <c r="B2540" s="2" t="s">
        <v>1893</v>
      </c>
      <c r="C2540" s="3">
        <v>0</v>
      </c>
      <c r="D2540" s="3">
        <v>0</v>
      </c>
      <c r="E2540" s="3">
        <v>0</v>
      </c>
      <c r="F2540" s="3">
        <v>0</v>
      </c>
      <c r="G2540" s="5">
        <v>0</v>
      </c>
    </row>
    <row r="2541" spans="1:8" ht="15" customHeight="1" x14ac:dyDescent="0.25">
      <c r="A2541" s="1" t="s">
        <v>1894</v>
      </c>
      <c r="B2541" s="1" t="s">
        <v>2</v>
      </c>
      <c r="C2541" s="4">
        <v>258025.48</v>
      </c>
      <c r="D2541" s="4">
        <v>113410.32</v>
      </c>
      <c r="E2541" s="4">
        <f>SUM(E2533:E2540)</f>
        <v>171385.21999999997</v>
      </c>
      <c r="F2541" s="6">
        <f>SUM(F2533:F2540)</f>
        <v>283500</v>
      </c>
      <c r="G2541" s="6">
        <f>SUM(G2533:G2540)</f>
        <v>273500</v>
      </c>
    </row>
    <row r="2542" spans="1:8" x14ac:dyDescent="0.25">
      <c r="A2542" s="1" t="s">
        <v>2</v>
      </c>
      <c r="B2542" s="1" t="s">
        <v>2</v>
      </c>
      <c r="C2542" s="1" t="s">
        <v>2</v>
      </c>
      <c r="D2542" s="1" t="s">
        <v>2</v>
      </c>
      <c r="E2542" s="1"/>
      <c r="F2542" s="1" t="s">
        <v>2</v>
      </c>
      <c r="G2542" s="1" t="s">
        <v>2</v>
      </c>
    </row>
    <row r="2543" spans="1:8" ht="15" customHeight="1" x14ac:dyDescent="0.25">
      <c r="A2543" s="1" t="s">
        <v>557</v>
      </c>
      <c r="B2543" s="1" t="s">
        <v>2</v>
      </c>
    </row>
    <row r="2544" spans="1:8" ht="15" customHeight="1" x14ac:dyDescent="0.25">
      <c r="A2544" s="2" t="s">
        <v>1895</v>
      </c>
      <c r="B2544" s="2" t="s">
        <v>1896</v>
      </c>
      <c r="C2544" s="3">
        <v>12222.59</v>
      </c>
      <c r="D2544" s="3">
        <v>12503.29</v>
      </c>
      <c r="E2544" s="3">
        <v>12503.29</v>
      </c>
      <c r="F2544" s="3">
        <v>125000</v>
      </c>
      <c r="G2544" s="5">
        <v>100000</v>
      </c>
    </row>
    <row r="2545" spans="1:8" ht="15" customHeight="1" x14ac:dyDescent="0.25">
      <c r="A2545" s="1" t="s">
        <v>560</v>
      </c>
      <c r="B2545" s="1" t="s">
        <v>2</v>
      </c>
      <c r="C2545" s="4">
        <v>12222.59</v>
      </c>
      <c r="D2545" s="4">
        <v>12503.29</v>
      </c>
      <c r="E2545" s="4">
        <f>E2544</f>
        <v>12503.29</v>
      </c>
      <c r="F2545" s="6">
        <f>SUM(F2544)</f>
        <v>125000</v>
      </c>
      <c r="G2545" s="6">
        <f>SUM(G2544)</f>
        <v>100000</v>
      </c>
    </row>
    <row r="2546" spans="1:8" x14ac:dyDescent="0.25">
      <c r="A2546" s="1" t="s">
        <v>2</v>
      </c>
      <c r="B2546" s="1" t="s">
        <v>2</v>
      </c>
      <c r="C2546" s="1" t="s">
        <v>2</v>
      </c>
      <c r="D2546" s="1" t="s">
        <v>2</v>
      </c>
      <c r="E2546" s="1"/>
      <c r="F2546" s="1" t="s">
        <v>2</v>
      </c>
      <c r="G2546" s="1" t="s">
        <v>2</v>
      </c>
    </row>
    <row r="2547" spans="1:8" ht="15" customHeight="1" x14ac:dyDescent="0.25">
      <c r="A2547" s="1" t="s">
        <v>1897</v>
      </c>
      <c r="B2547" s="1" t="s">
        <v>2</v>
      </c>
      <c r="C2547" s="4">
        <v>270248.07</v>
      </c>
      <c r="D2547" s="4">
        <v>125913.61</v>
      </c>
      <c r="E2547" s="4">
        <f>E2541+E2545</f>
        <v>183888.50999999998</v>
      </c>
      <c r="F2547" s="6">
        <f>F2545+F2541</f>
        <v>408500</v>
      </c>
      <c r="G2547" s="6">
        <f>G2545+G2541</f>
        <v>373500</v>
      </c>
    </row>
    <row r="2548" spans="1:8" ht="15" customHeight="1" x14ac:dyDescent="0.25">
      <c r="A2548" s="25" t="s">
        <v>3147</v>
      </c>
      <c r="B2548" s="25"/>
      <c r="C2548" s="33">
        <f>C2506+C2529-C2547</f>
        <v>100143.51999999996</v>
      </c>
      <c r="D2548" s="33">
        <f t="shared" ref="D2548:G2548" si="70">D2506+D2529-D2547</f>
        <v>197653.53000000003</v>
      </c>
      <c r="E2548" s="33">
        <f t="shared" si="70"/>
        <v>139678.63000000003</v>
      </c>
      <c r="F2548" s="33">
        <f t="shared" si="70"/>
        <v>35067.140000000014</v>
      </c>
      <c r="G2548" s="33">
        <f t="shared" si="70"/>
        <v>34034.44</v>
      </c>
      <c r="H2548" s="25"/>
    </row>
    <row r="2549" spans="1:8" x14ac:dyDescent="0.25">
      <c r="A2549" s="1" t="s">
        <v>2</v>
      </c>
      <c r="B2549" s="1" t="s">
        <v>2</v>
      </c>
      <c r="C2549" s="36"/>
      <c r="D2549" s="1" t="s">
        <v>2</v>
      </c>
      <c r="E2549" s="1"/>
      <c r="F2549" s="36"/>
      <c r="G2549" s="1" t="s">
        <v>2</v>
      </c>
    </row>
    <row r="2550" spans="1:8" ht="15" customHeight="1" x14ac:dyDescent="0.25">
      <c r="A2550" s="27" t="s">
        <v>3148</v>
      </c>
      <c r="B2550" s="27"/>
      <c r="C2550" s="28">
        <v>265421.19</v>
      </c>
      <c r="D2550" s="28">
        <v>306422.27</v>
      </c>
      <c r="E2550" s="28">
        <v>306422.27</v>
      </c>
      <c r="F2550" s="28">
        <v>306422.27</v>
      </c>
      <c r="G2550" s="28">
        <f>F2661</f>
        <v>161165.43999999994</v>
      </c>
      <c r="H2550" s="27"/>
    </row>
    <row r="2551" spans="1:8" x14ac:dyDescent="0.25">
      <c r="A2551" s="23" t="s">
        <v>1898</v>
      </c>
      <c r="B2551" s="23" t="s">
        <v>2</v>
      </c>
      <c r="C2551" s="29"/>
      <c r="D2551" s="29"/>
      <c r="E2551" s="29"/>
      <c r="F2551" s="29"/>
      <c r="G2551" s="29"/>
      <c r="H2551" s="29"/>
    </row>
    <row r="2552" spans="1:8" x14ac:dyDescent="0.25">
      <c r="A2552" s="23" t="s">
        <v>2026</v>
      </c>
      <c r="B2552" s="23" t="s">
        <v>2</v>
      </c>
      <c r="C2552" s="29"/>
      <c r="D2552" s="29"/>
      <c r="E2552" s="29"/>
      <c r="F2552" s="29"/>
      <c r="G2552" s="29"/>
      <c r="H2552" s="29"/>
    </row>
    <row r="2553" spans="1:8" x14ac:dyDescent="0.25">
      <c r="A2553" s="30" t="s">
        <v>3149</v>
      </c>
      <c r="B2553" s="30" t="s">
        <v>2608</v>
      </c>
      <c r="C2553" s="31">
        <v>0</v>
      </c>
      <c r="D2553" s="31">
        <v>0</v>
      </c>
      <c r="E2553" s="31">
        <v>0</v>
      </c>
      <c r="F2553" s="31">
        <v>0</v>
      </c>
      <c r="G2553" s="31">
        <v>0</v>
      </c>
      <c r="H2553" s="29"/>
    </row>
    <row r="2554" spans="1:8" x14ac:dyDescent="0.25">
      <c r="A2554" s="30" t="s">
        <v>3150</v>
      </c>
      <c r="B2554" s="30" t="s">
        <v>2123</v>
      </c>
      <c r="C2554" s="31">
        <v>196.49</v>
      </c>
      <c r="D2554" s="31">
        <v>0</v>
      </c>
      <c r="E2554" s="31">
        <v>0</v>
      </c>
      <c r="F2554" s="31">
        <v>0</v>
      </c>
      <c r="G2554" s="31">
        <v>0</v>
      </c>
      <c r="H2554" s="29"/>
    </row>
    <row r="2555" spans="1:8" x14ac:dyDescent="0.25">
      <c r="A2555" s="30" t="s">
        <v>3151</v>
      </c>
      <c r="B2555" s="30" t="s">
        <v>3152</v>
      </c>
      <c r="C2555" s="31">
        <v>717045.31</v>
      </c>
      <c r="D2555" s="31">
        <v>627809.46</v>
      </c>
      <c r="E2555" s="31">
        <v>627809.46</v>
      </c>
      <c r="F2555" s="31">
        <v>627809.46</v>
      </c>
      <c r="G2555" s="66">
        <v>0</v>
      </c>
      <c r="H2555" s="29"/>
    </row>
    <row r="2556" spans="1:8" x14ac:dyDescent="0.25">
      <c r="A2556" s="30"/>
      <c r="B2556" s="30"/>
      <c r="C2556" s="31"/>
      <c r="D2556" s="31"/>
      <c r="E2556" s="31"/>
      <c r="F2556" s="31"/>
      <c r="G2556" s="31"/>
      <c r="H2556" s="29"/>
    </row>
    <row r="2557" spans="1:8" x14ac:dyDescent="0.25">
      <c r="A2557" s="23" t="s">
        <v>2175</v>
      </c>
      <c r="B2557" s="23" t="s">
        <v>2</v>
      </c>
      <c r="C2557" s="29"/>
      <c r="D2557" s="29"/>
      <c r="E2557" s="29"/>
      <c r="F2557" s="29"/>
      <c r="G2557" s="29"/>
      <c r="H2557" s="29"/>
    </row>
    <row r="2558" spans="1:8" x14ac:dyDescent="0.25">
      <c r="A2558" s="23" t="s">
        <v>2176</v>
      </c>
      <c r="B2558" s="23" t="s">
        <v>2</v>
      </c>
      <c r="C2558" s="29"/>
      <c r="D2558" s="29"/>
      <c r="E2558" s="29"/>
      <c r="F2558" s="29"/>
      <c r="G2558" s="29"/>
      <c r="H2558" s="29"/>
    </row>
    <row r="2559" spans="1:8" x14ac:dyDescent="0.25">
      <c r="A2559" s="30" t="s">
        <v>3153</v>
      </c>
      <c r="B2559" s="30" t="s">
        <v>2409</v>
      </c>
      <c r="C2559" s="31">
        <v>39.229999999999997</v>
      </c>
      <c r="D2559" s="31">
        <v>27.38</v>
      </c>
      <c r="E2559" s="31">
        <v>80.650000000000006</v>
      </c>
      <c r="F2559" s="31">
        <v>0</v>
      </c>
      <c r="G2559" s="31">
        <v>0</v>
      </c>
      <c r="H2559" s="29"/>
    </row>
    <row r="2560" spans="1:8" x14ac:dyDescent="0.25">
      <c r="A2560" s="30" t="s">
        <v>3154</v>
      </c>
      <c r="B2560" s="30" t="s">
        <v>2703</v>
      </c>
      <c r="C2560" s="31">
        <v>0</v>
      </c>
      <c r="D2560" s="31">
        <v>0</v>
      </c>
      <c r="E2560" s="31">
        <v>0</v>
      </c>
      <c r="F2560" s="31">
        <v>0</v>
      </c>
      <c r="G2560" s="31">
        <v>0</v>
      </c>
      <c r="H2560" s="29"/>
    </row>
    <row r="2561" spans="1:8" ht="24" x14ac:dyDescent="0.25">
      <c r="A2561" s="23" t="s">
        <v>2179</v>
      </c>
      <c r="B2561" s="23" t="s">
        <v>2</v>
      </c>
      <c r="C2561" s="32">
        <v>39.229999999999997</v>
      </c>
      <c r="D2561" s="32">
        <v>27.38</v>
      </c>
      <c r="E2561" s="32">
        <f>SUM(E2559:E2560)</f>
        <v>80.650000000000006</v>
      </c>
      <c r="F2561" s="32">
        <f>SUM(F2559:F2560)</f>
        <v>0</v>
      </c>
      <c r="G2561" s="32">
        <f>SUM(G2559:G2560)</f>
        <v>0</v>
      </c>
      <c r="H2561" s="29"/>
    </row>
    <row r="2562" spans="1:8" x14ac:dyDescent="0.25">
      <c r="A2562" s="23" t="s">
        <v>2</v>
      </c>
      <c r="B2562" s="23" t="s">
        <v>2</v>
      </c>
      <c r="C2562" s="23" t="s">
        <v>2</v>
      </c>
      <c r="D2562" s="23" t="s">
        <v>2</v>
      </c>
      <c r="E2562" s="23"/>
      <c r="F2562" s="23" t="s">
        <v>2</v>
      </c>
      <c r="G2562" s="23" t="s">
        <v>2</v>
      </c>
      <c r="H2562" s="29"/>
    </row>
    <row r="2563" spans="1:8" ht="24" x14ac:dyDescent="0.25">
      <c r="A2563" s="23" t="s">
        <v>2581</v>
      </c>
      <c r="B2563" s="23" t="s">
        <v>2</v>
      </c>
      <c r="C2563" s="29"/>
      <c r="D2563" s="29"/>
      <c r="E2563" s="29"/>
      <c r="F2563" s="29"/>
      <c r="G2563" s="29"/>
      <c r="H2563" s="29"/>
    </row>
    <row r="2564" spans="1:8" x14ac:dyDescent="0.25">
      <c r="A2564" s="30" t="s">
        <v>3155</v>
      </c>
      <c r="B2564" s="30" t="s">
        <v>3156</v>
      </c>
      <c r="C2564" s="31">
        <v>20229</v>
      </c>
      <c r="D2564" s="31">
        <v>26928</v>
      </c>
      <c r="E2564" s="31">
        <v>36543</v>
      </c>
      <c r="F2564" s="31">
        <v>0</v>
      </c>
      <c r="G2564" s="31">
        <v>0</v>
      </c>
      <c r="H2564" s="29"/>
    </row>
    <row r="2565" spans="1:8" x14ac:dyDescent="0.25">
      <c r="A2565" s="30" t="s">
        <v>3157</v>
      </c>
      <c r="B2565" s="30" t="s">
        <v>3158</v>
      </c>
      <c r="C2565" s="31">
        <v>1142.8399999999999</v>
      </c>
      <c r="D2565" s="31">
        <v>0</v>
      </c>
      <c r="E2565" s="31">
        <v>0</v>
      </c>
      <c r="F2565" s="31">
        <v>0</v>
      </c>
      <c r="G2565" s="31">
        <v>0</v>
      </c>
      <c r="H2565" s="29"/>
    </row>
    <row r="2566" spans="1:8" ht="24" x14ac:dyDescent="0.25">
      <c r="A2566" s="23" t="s">
        <v>2585</v>
      </c>
      <c r="B2566" s="23" t="s">
        <v>2</v>
      </c>
      <c r="C2566" s="32">
        <v>21371.84</v>
      </c>
      <c r="D2566" s="32">
        <v>26928</v>
      </c>
      <c r="E2566" s="32">
        <f>SUM(E2564:E2565)</f>
        <v>36543</v>
      </c>
      <c r="F2566" s="32">
        <f>SUM(F2564:F2565)</f>
        <v>0</v>
      </c>
      <c r="G2566" s="32">
        <f>SUM(G2564:G2565)</f>
        <v>0</v>
      </c>
      <c r="H2566" s="29"/>
    </row>
    <row r="2567" spans="1:8" x14ac:dyDescent="0.25">
      <c r="A2567" s="23" t="s">
        <v>2</v>
      </c>
      <c r="B2567" s="23" t="s">
        <v>2</v>
      </c>
      <c r="C2567" s="23" t="s">
        <v>2</v>
      </c>
      <c r="D2567" s="23" t="s">
        <v>2</v>
      </c>
      <c r="E2567" s="23"/>
      <c r="F2567" s="23" t="s">
        <v>2</v>
      </c>
      <c r="G2567" s="23" t="s">
        <v>2</v>
      </c>
      <c r="H2567" s="29"/>
    </row>
    <row r="2568" spans="1:8" ht="24" x14ac:dyDescent="0.25">
      <c r="A2568" s="23" t="s">
        <v>2180</v>
      </c>
      <c r="B2568" s="23" t="s">
        <v>2</v>
      </c>
      <c r="C2568" s="32">
        <v>21411.07</v>
      </c>
      <c r="D2568" s="32">
        <v>26955.38</v>
      </c>
      <c r="E2568" s="32">
        <f>E2561+E2566</f>
        <v>36623.65</v>
      </c>
      <c r="F2568" s="32">
        <f>F2566+F2561</f>
        <v>0</v>
      </c>
      <c r="G2568" s="32">
        <f>G2566+G2561</f>
        <v>0</v>
      </c>
      <c r="H2568" s="29"/>
    </row>
    <row r="2569" spans="1:8" x14ac:dyDescent="0.25">
      <c r="A2569" s="23" t="s">
        <v>2</v>
      </c>
      <c r="B2569" s="23" t="s">
        <v>2</v>
      </c>
      <c r="C2569" s="23" t="s">
        <v>2</v>
      </c>
      <c r="D2569" s="23" t="s">
        <v>2</v>
      </c>
      <c r="E2569" s="23"/>
      <c r="F2569" s="23" t="s">
        <v>2</v>
      </c>
      <c r="G2569" s="23" t="s">
        <v>2</v>
      </c>
      <c r="H2569" s="29"/>
    </row>
    <row r="2570" spans="1:8" x14ac:dyDescent="0.25">
      <c r="A2570" s="23" t="s">
        <v>2532</v>
      </c>
      <c r="B2570" s="23" t="s">
        <v>2</v>
      </c>
      <c r="C2570" s="29"/>
      <c r="D2570" s="29"/>
      <c r="E2570" s="29"/>
      <c r="F2570" s="29"/>
      <c r="G2570" s="29"/>
      <c r="H2570" s="29"/>
    </row>
    <row r="2571" spans="1:8" x14ac:dyDescent="0.25">
      <c r="A2571" s="30" t="s">
        <v>3159</v>
      </c>
      <c r="B2571" s="30" t="s">
        <v>3160</v>
      </c>
      <c r="C2571" s="31">
        <v>0</v>
      </c>
      <c r="D2571" s="31">
        <v>0</v>
      </c>
      <c r="E2571" s="31">
        <v>0</v>
      </c>
      <c r="F2571" s="31">
        <v>0</v>
      </c>
      <c r="G2571" s="31">
        <v>0</v>
      </c>
      <c r="H2571" s="29"/>
    </row>
    <row r="2572" spans="1:8" ht="24" x14ac:dyDescent="0.25">
      <c r="A2572" s="23" t="s">
        <v>2537</v>
      </c>
      <c r="B2572" s="23" t="s">
        <v>2</v>
      </c>
      <c r="C2572" s="32">
        <v>0</v>
      </c>
      <c r="D2572" s="32">
        <v>0</v>
      </c>
      <c r="E2572" s="32">
        <f>E2571</f>
        <v>0</v>
      </c>
      <c r="F2572" s="32">
        <f>SUM(F2571)</f>
        <v>0</v>
      </c>
      <c r="G2572" s="32">
        <f>SUM(G2571)</f>
        <v>0</v>
      </c>
      <c r="H2572" s="29"/>
    </row>
    <row r="2573" spans="1:8" x14ac:dyDescent="0.25">
      <c r="A2573" s="23" t="s">
        <v>2</v>
      </c>
      <c r="B2573" s="23" t="s">
        <v>2</v>
      </c>
      <c r="C2573" s="23" t="s">
        <v>2</v>
      </c>
      <c r="D2573" s="23" t="s">
        <v>2</v>
      </c>
      <c r="E2573" s="23"/>
      <c r="F2573" s="23" t="s">
        <v>2</v>
      </c>
      <c r="G2573" s="23" t="s">
        <v>2</v>
      </c>
      <c r="H2573" s="29"/>
    </row>
    <row r="2574" spans="1:8" x14ac:dyDescent="0.25">
      <c r="A2574" s="23" t="s">
        <v>2553</v>
      </c>
      <c r="B2574" s="23" t="s">
        <v>2</v>
      </c>
      <c r="C2574" s="29"/>
      <c r="D2574" s="29"/>
      <c r="E2574" s="29"/>
      <c r="F2574" s="29"/>
      <c r="G2574" s="29"/>
      <c r="H2574" s="29"/>
    </row>
    <row r="2575" spans="1:8" x14ac:dyDescent="0.25">
      <c r="A2575" s="23"/>
      <c r="B2575" s="23"/>
      <c r="C2575" s="29"/>
      <c r="D2575" s="29"/>
      <c r="E2575" s="29"/>
      <c r="F2575" s="29"/>
      <c r="G2575" s="29"/>
      <c r="H2575" s="29"/>
    </row>
    <row r="2576" spans="1:8" x14ac:dyDescent="0.25">
      <c r="A2576" s="30" t="s">
        <v>3161</v>
      </c>
      <c r="B2576" s="30" t="s">
        <v>3162</v>
      </c>
      <c r="C2576" s="31">
        <v>0</v>
      </c>
      <c r="D2576" s="31">
        <v>0</v>
      </c>
      <c r="E2576" s="31">
        <v>0</v>
      </c>
      <c r="F2576" s="31">
        <v>0</v>
      </c>
      <c r="G2576" s="31">
        <v>0</v>
      </c>
      <c r="H2576" s="29"/>
    </row>
    <row r="2577" spans="1:12" x14ac:dyDescent="0.25">
      <c r="A2577" s="30"/>
      <c r="B2577" s="30"/>
      <c r="C2577" s="31"/>
      <c r="D2577" s="31"/>
      <c r="E2577" s="31"/>
      <c r="F2577" s="31"/>
      <c r="G2577" s="31"/>
      <c r="H2577" s="29"/>
    </row>
    <row r="2578" spans="1:12" x14ac:dyDescent="0.25">
      <c r="A2578" s="23" t="s">
        <v>2666</v>
      </c>
      <c r="B2578" s="23" t="s">
        <v>2</v>
      </c>
      <c r="C2578" s="29"/>
      <c r="D2578" s="29"/>
      <c r="E2578" s="29"/>
      <c r="F2578" s="29"/>
      <c r="G2578" s="29"/>
      <c r="H2578" s="29"/>
    </row>
    <row r="2579" spans="1:12" x14ac:dyDescent="0.25">
      <c r="A2579" s="30" t="s">
        <v>3163</v>
      </c>
      <c r="B2579" s="30" t="s">
        <v>3013</v>
      </c>
      <c r="C2579" s="31">
        <v>17935.5</v>
      </c>
      <c r="D2579" s="31">
        <v>0</v>
      </c>
      <c r="E2579" s="31">
        <v>0</v>
      </c>
      <c r="F2579" s="31">
        <v>0</v>
      </c>
      <c r="G2579" s="31">
        <v>0</v>
      </c>
      <c r="H2579" s="29"/>
    </row>
    <row r="2580" spans="1:12" x14ac:dyDescent="0.25">
      <c r="A2580" s="30" t="s">
        <v>3164</v>
      </c>
      <c r="B2580" s="30" t="s">
        <v>2669</v>
      </c>
      <c r="C2580" s="31">
        <v>1582.21</v>
      </c>
      <c r="D2580" s="31">
        <v>13287.73</v>
      </c>
      <c r="E2580" s="31">
        <v>16540.57</v>
      </c>
      <c r="F2580" s="31">
        <v>0</v>
      </c>
      <c r="G2580" s="31">
        <v>0</v>
      </c>
      <c r="H2580" s="29"/>
    </row>
    <row r="2581" spans="1:12" ht="24" x14ac:dyDescent="0.25">
      <c r="A2581" s="23" t="s">
        <v>3165</v>
      </c>
      <c r="B2581" s="23" t="s">
        <v>2</v>
      </c>
      <c r="C2581" s="32">
        <v>19517.71</v>
      </c>
      <c r="D2581" s="32">
        <v>13287.73</v>
      </c>
      <c r="E2581" s="32">
        <f>SUM(E2579:E2580)</f>
        <v>16540.57</v>
      </c>
      <c r="F2581" s="32">
        <f>SUM(F2579:F2580)</f>
        <v>0</v>
      </c>
      <c r="G2581" s="32">
        <f>SUM(G2579:G2580)</f>
        <v>0</v>
      </c>
      <c r="H2581" s="29"/>
    </row>
    <row r="2582" spans="1:12" x14ac:dyDescent="0.25">
      <c r="A2582" s="23" t="s">
        <v>2</v>
      </c>
      <c r="B2582" s="23" t="s">
        <v>2</v>
      </c>
      <c r="C2582" s="23" t="s">
        <v>2</v>
      </c>
      <c r="D2582" s="23" t="s">
        <v>2</v>
      </c>
      <c r="E2582" s="23"/>
      <c r="F2582" s="23" t="s">
        <v>2</v>
      </c>
      <c r="G2582" s="23" t="s">
        <v>2</v>
      </c>
      <c r="H2582" s="29"/>
    </row>
    <row r="2583" spans="1:12" x14ac:dyDescent="0.25">
      <c r="A2583" s="23" t="s">
        <v>2724</v>
      </c>
      <c r="B2583" s="23" t="s">
        <v>2</v>
      </c>
      <c r="C2583" s="29"/>
      <c r="D2583" s="29"/>
      <c r="E2583" s="29"/>
      <c r="F2583" s="29"/>
      <c r="G2583" s="29"/>
      <c r="H2583" s="29"/>
    </row>
    <row r="2584" spans="1:12" x14ac:dyDescent="0.25">
      <c r="A2584" s="30" t="s">
        <v>3166</v>
      </c>
      <c r="B2584" s="30" t="s">
        <v>3167</v>
      </c>
      <c r="C2584" s="31">
        <v>74253.83</v>
      </c>
      <c r="D2584" s="31">
        <v>0</v>
      </c>
      <c r="E2584" s="31">
        <v>0</v>
      </c>
      <c r="F2584" s="31">
        <v>80000</v>
      </c>
      <c r="G2584" s="58">
        <v>0</v>
      </c>
      <c r="H2584" s="29"/>
    </row>
    <row r="2585" spans="1:12" x14ac:dyDescent="0.25">
      <c r="A2585" s="30" t="s">
        <v>3168</v>
      </c>
      <c r="B2585" s="30" t="s">
        <v>3169</v>
      </c>
      <c r="C2585" s="31">
        <v>126350.08</v>
      </c>
      <c r="D2585" s="31">
        <v>0</v>
      </c>
      <c r="E2585" s="31">
        <v>0</v>
      </c>
      <c r="F2585" s="31">
        <v>166750</v>
      </c>
      <c r="G2585" s="58">
        <v>0</v>
      </c>
      <c r="H2585" s="29"/>
    </row>
    <row r="2586" spans="1:12" x14ac:dyDescent="0.25">
      <c r="A2586" s="30" t="s">
        <v>3170</v>
      </c>
      <c r="B2586" s="30" t="s">
        <v>3171</v>
      </c>
      <c r="C2586" s="31">
        <v>67717.850000000006</v>
      </c>
      <c r="D2586" s="31">
        <v>0</v>
      </c>
      <c r="E2586" s="31">
        <v>0</v>
      </c>
      <c r="F2586" s="31">
        <v>114250</v>
      </c>
      <c r="G2586" s="58">
        <v>0</v>
      </c>
      <c r="H2586" s="29"/>
    </row>
    <row r="2587" spans="1:12" x14ac:dyDescent="0.25">
      <c r="A2587" s="30" t="s">
        <v>3172</v>
      </c>
      <c r="B2587" s="30" t="s">
        <v>3173</v>
      </c>
      <c r="C2587" s="31">
        <v>108359.54</v>
      </c>
      <c r="D2587" s="31">
        <v>0</v>
      </c>
      <c r="E2587" s="31">
        <v>0</v>
      </c>
      <c r="F2587" s="31">
        <v>94250</v>
      </c>
      <c r="G2587" s="58">
        <v>0</v>
      </c>
      <c r="H2587" s="29"/>
    </row>
    <row r="2588" spans="1:12" x14ac:dyDescent="0.25">
      <c r="A2588" s="30" t="s">
        <v>3174</v>
      </c>
      <c r="B2588" s="30" t="s">
        <v>3175</v>
      </c>
      <c r="C2588" s="31">
        <v>166991.78</v>
      </c>
      <c r="D2588" s="31">
        <v>0</v>
      </c>
      <c r="E2588" s="31">
        <v>0</v>
      </c>
      <c r="F2588" s="31">
        <v>121750</v>
      </c>
      <c r="G2588" s="58">
        <v>0</v>
      </c>
      <c r="H2588" s="29"/>
    </row>
    <row r="2589" spans="1:12" x14ac:dyDescent="0.25">
      <c r="A2589" s="30" t="s">
        <v>3176</v>
      </c>
      <c r="B2589" s="30" t="s">
        <v>3177</v>
      </c>
      <c r="C2589" s="31">
        <v>0</v>
      </c>
      <c r="D2589" s="31">
        <v>0</v>
      </c>
      <c r="E2589" s="31">
        <v>0</v>
      </c>
      <c r="F2589" s="31">
        <v>60000</v>
      </c>
      <c r="G2589" s="58">
        <v>0</v>
      </c>
      <c r="H2589" s="29"/>
    </row>
    <row r="2590" spans="1:12" x14ac:dyDescent="0.25">
      <c r="A2590" s="30" t="s">
        <v>3178</v>
      </c>
      <c r="B2590" s="30" t="s">
        <v>3179</v>
      </c>
      <c r="C2590" s="31">
        <v>0</v>
      </c>
      <c r="D2590" s="31">
        <v>0</v>
      </c>
      <c r="E2590" s="31">
        <v>0</v>
      </c>
      <c r="F2590" s="31">
        <v>50000</v>
      </c>
      <c r="G2590" s="58">
        <v>0</v>
      </c>
      <c r="H2590" s="29"/>
      <c r="K2590" s="48"/>
      <c r="L2590" s="48"/>
    </row>
    <row r="2591" spans="1:12" x14ac:dyDescent="0.25">
      <c r="A2591" s="23" t="s">
        <v>2725</v>
      </c>
      <c r="B2591" s="23" t="s">
        <v>2</v>
      </c>
      <c r="C2591" s="32">
        <v>543673.07999999996</v>
      </c>
      <c r="D2591" s="32">
        <v>0</v>
      </c>
      <c r="E2591" s="32">
        <f>SUM(E2584:E2590)</f>
        <v>0</v>
      </c>
      <c r="F2591" s="32">
        <f>SUM(F2584:F2590)</f>
        <v>687000</v>
      </c>
      <c r="G2591" s="32">
        <f>SUM(G2584:G2590)</f>
        <v>0</v>
      </c>
      <c r="H2591" s="29"/>
    </row>
    <row r="2592" spans="1:12" x14ac:dyDescent="0.25">
      <c r="A2592" s="23" t="s">
        <v>2</v>
      </c>
      <c r="B2592" s="23" t="s">
        <v>2</v>
      </c>
      <c r="C2592" s="23" t="s">
        <v>2</v>
      </c>
      <c r="D2592" s="23" t="s">
        <v>2</v>
      </c>
      <c r="E2592" s="23"/>
      <c r="F2592" s="23" t="s">
        <v>2</v>
      </c>
      <c r="G2592" s="23" t="s">
        <v>2</v>
      </c>
      <c r="H2592" s="29"/>
      <c r="L2592" s="41"/>
    </row>
    <row r="2593" spans="1:8" ht="24" x14ac:dyDescent="0.25">
      <c r="A2593" s="23" t="s">
        <v>2556</v>
      </c>
      <c r="B2593" s="23" t="s">
        <v>2</v>
      </c>
      <c r="C2593" s="32">
        <v>563190.79</v>
      </c>
      <c r="D2593" s="32">
        <v>13287.73</v>
      </c>
      <c r="E2593" s="32">
        <f>E2581+E2591</f>
        <v>16540.57</v>
      </c>
      <c r="F2593" s="32">
        <f>F2591+F2581+F2576</f>
        <v>687000</v>
      </c>
      <c r="G2593" s="32">
        <f>G2591+G2581+G2576</f>
        <v>0</v>
      </c>
      <c r="H2593" s="29"/>
    </row>
    <row r="2594" spans="1:8" x14ac:dyDescent="0.25">
      <c r="A2594" s="23" t="s">
        <v>2</v>
      </c>
      <c r="B2594" s="23" t="s">
        <v>2</v>
      </c>
      <c r="C2594" s="23" t="s">
        <v>2</v>
      </c>
      <c r="D2594" s="23" t="s">
        <v>2</v>
      </c>
      <c r="E2594" s="23"/>
      <c r="F2594" s="23" t="s">
        <v>2</v>
      </c>
      <c r="G2594" s="23" t="s">
        <v>2</v>
      </c>
      <c r="H2594" s="29"/>
    </row>
    <row r="2595" spans="1:8" x14ac:dyDescent="0.25">
      <c r="A2595" s="23" t="s">
        <v>1999</v>
      </c>
      <c r="B2595" s="23" t="s">
        <v>2</v>
      </c>
      <c r="C2595" s="32">
        <v>1301843.6599999999</v>
      </c>
      <c r="D2595" s="32">
        <v>668052.56999999995</v>
      </c>
      <c r="E2595" s="32">
        <f>SUM(E2553:E2555)+E2568+E2572+E2576+E2593</f>
        <v>680973.67999999993</v>
      </c>
      <c r="F2595" s="32">
        <v>1314809.46</v>
      </c>
      <c r="G2595" s="32">
        <f>G2593+G2572+G2568+SUM(G2553:G2555)</f>
        <v>0</v>
      </c>
      <c r="H2595" s="29"/>
    </row>
    <row r="2596" spans="1:8" x14ac:dyDescent="0.25">
      <c r="A2596" s="1" t="s">
        <v>740</v>
      </c>
      <c r="B2596" s="1" t="s">
        <v>2</v>
      </c>
      <c r="C2596" s="1" t="s">
        <v>2</v>
      </c>
      <c r="D2596" s="1" t="s">
        <v>2</v>
      </c>
      <c r="E2596" s="1"/>
      <c r="F2596" s="1" t="s">
        <v>2</v>
      </c>
      <c r="G2596" s="1" t="s">
        <v>2</v>
      </c>
    </row>
    <row r="2597" spans="1:8" ht="15" customHeight="1" x14ac:dyDescent="0.25">
      <c r="A2597" s="1" t="s">
        <v>1898</v>
      </c>
      <c r="B2597" s="1" t="s">
        <v>2</v>
      </c>
    </row>
    <row r="2598" spans="1:8" ht="15" customHeight="1" x14ac:dyDescent="0.25">
      <c r="A2598" s="2" t="s">
        <v>1899</v>
      </c>
      <c r="B2598" s="2" t="s">
        <v>1900</v>
      </c>
      <c r="C2598" s="3">
        <v>75387.66</v>
      </c>
      <c r="D2598" s="3">
        <v>0</v>
      </c>
      <c r="E2598" s="3">
        <v>0</v>
      </c>
      <c r="F2598" s="3">
        <v>108378.67</v>
      </c>
      <c r="G2598" s="5">
        <v>110000</v>
      </c>
    </row>
    <row r="2599" spans="1:8" ht="15" customHeight="1" x14ac:dyDescent="0.25">
      <c r="A2599" s="2" t="s">
        <v>1901</v>
      </c>
      <c r="B2599" s="2" t="s">
        <v>108</v>
      </c>
      <c r="C2599" s="3">
        <v>127710.65</v>
      </c>
      <c r="D2599" s="3">
        <v>76439.740000000005</v>
      </c>
      <c r="E2599" s="3">
        <v>126152.1</v>
      </c>
      <c r="F2599" s="3">
        <v>144330.57</v>
      </c>
      <c r="G2599" s="5">
        <f>F2599*1.055</f>
        <v>152268.75135000001</v>
      </c>
    </row>
    <row r="2600" spans="1:8" ht="15" customHeight="1" x14ac:dyDescent="0.25">
      <c r="A2600" s="2" t="s">
        <v>1902</v>
      </c>
      <c r="B2600" s="2" t="s">
        <v>569</v>
      </c>
      <c r="C2600" s="3">
        <v>0</v>
      </c>
      <c r="D2600" s="3">
        <v>0</v>
      </c>
      <c r="E2600" s="3">
        <v>0</v>
      </c>
      <c r="F2600" s="3">
        <v>0</v>
      </c>
      <c r="G2600" s="5">
        <f t="shared" ref="G2600:G2605" si="71">F2600*1.055</f>
        <v>0</v>
      </c>
    </row>
    <row r="2601" spans="1:8" ht="15" customHeight="1" x14ac:dyDescent="0.25">
      <c r="A2601" s="2" t="s">
        <v>1903</v>
      </c>
      <c r="B2601" s="2" t="s">
        <v>29</v>
      </c>
      <c r="C2601" s="3">
        <v>25675.13</v>
      </c>
      <c r="D2601" s="3">
        <v>18374.240000000002</v>
      </c>
      <c r="E2601" s="3">
        <v>29724.28</v>
      </c>
      <c r="F2601" s="3">
        <v>46158.14</v>
      </c>
      <c r="G2601" s="5">
        <f t="shared" si="71"/>
        <v>48696.837699999996</v>
      </c>
    </row>
    <row r="2602" spans="1:8" ht="15" customHeight="1" x14ac:dyDescent="0.25">
      <c r="A2602" s="2" t="s">
        <v>1904</v>
      </c>
      <c r="B2602" s="2" t="s">
        <v>128</v>
      </c>
      <c r="C2602" s="3">
        <v>2878.54</v>
      </c>
      <c r="D2602" s="3">
        <v>1436.91</v>
      </c>
      <c r="E2602" s="3">
        <v>2313.2800000000002</v>
      </c>
      <c r="F2602" s="3">
        <v>3216</v>
      </c>
      <c r="G2602" s="5">
        <f t="shared" si="71"/>
        <v>3392.8799999999997</v>
      </c>
    </row>
    <row r="2603" spans="1:8" ht="15" customHeight="1" x14ac:dyDescent="0.25">
      <c r="A2603" s="2" t="s">
        <v>1905</v>
      </c>
      <c r="B2603" s="2" t="s">
        <v>33</v>
      </c>
      <c r="C2603" s="3">
        <v>17129.64</v>
      </c>
      <c r="D2603" s="3">
        <v>9042.2800000000007</v>
      </c>
      <c r="E2603" s="3">
        <v>14938.56</v>
      </c>
      <c r="F2603" s="3">
        <v>17697.63</v>
      </c>
      <c r="G2603" s="5">
        <f t="shared" si="71"/>
        <v>18670.999650000002</v>
      </c>
    </row>
    <row r="2604" spans="1:8" ht="15" customHeight="1" x14ac:dyDescent="0.25">
      <c r="A2604" s="2" t="s">
        <v>1906</v>
      </c>
      <c r="B2604" s="2" t="s">
        <v>11</v>
      </c>
      <c r="C2604" s="3">
        <v>9673.85</v>
      </c>
      <c r="D2604" s="3">
        <v>5776.74</v>
      </c>
      <c r="E2604" s="3">
        <v>9536.08</v>
      </c>
      <c r="F2604" s="3">
        <v>11041.29</v>
      </c>
      <c r="G2604" s="5">
        <f t="shared" si="71"/>
        <v>11648.560950000001</v>
      </c>
    </row>
    <row r="2605" spans="1:8" ht="15" customHeight="1" x14ac:dyDescent="0.25">
      <c r="A2605" s="2" t="s">
        <v>1907</v>
      </c>
      <c r="B2605" s="2" t="s">
        <v>13</v>
      </c>
      <c r="C2605" s="3">
        <v>187.23</v>
      </c>
      <c r="D2605" s="3">
        <v>163.34</v>
      </c>
      <c r="E2605" s="3">
        <v>269.38</v>
      </c>
      <c r="F2605" s="3">
        <v>212.17</v>
      </c>
      <c r="G2605" s="5">
        <f t="shared" si="71"/>
        <v>223.83934999999997</v>
      </c>
    </row>
    <row r="2606" spans="1:8" ht="15" customHeight="1" x14ac:dyDescent="0.25">
      <c r="A2606" s="2" t="s">
        <v>1908</v>
      </c>
      <c r="B2606" s="2" t="s">
        <v>458</v>
      </c>
      <c r="C2606" s="3">
        <v>501.24</v>
      </c>
      <c r="D2606" s="3">
        <v>110.7</v>
      </c>
      <c r="E2606" s="3">
        <v>140.58000000000001</v>
      </c>
      <c r="F2606" s="3">
        <v>446.32</v>
      </c>
      <c r="G2606" s="5">
        <v>500</v>
      </c>
    </row>
    <row r="2607" spans="1:8" ht="15" customHeight="1" x14ac:dyDescent="0.25">
      <c r="A2607" s="2" t="s">
        <v>1909</v>
      </c>
      <c r="B2607" s="2" t="s">
        <v>585</v>
      </c>
      <c r="C2607" s="3">
        <v>0</v>
      </c>
      <c r="D2607" s="3">
        <v>0</v>
      </c>
      <c r="E2607" s="3">
        <v>3.53</v>
      </c>
      <c r="F2607" s="3">
        <v>0</v>
      </c>
      <c r="G2607" s="5">
        <v>0</v>
      </c>
    </row>
    <row r="2608" spans="1:8" ht="15" customHeight="1" x14ac:dyDescent="0.25">
      <c r="A2608" s="2" t="s">
        <v>1910</v>
      </c>
      <c r="B2608" s="2" t="s">
        <v>37</v>
      </c>
      <c r="C2608" s="3">
        <v>0</v>
      </c>
      <c r="D2608" s="3">
        <v>0</v>
      </c>
      <c r="E2608" s="3">
        <v>0</v>
      </c>
      <c r="F2608" s="3">
        <v>0</v>
      </c>
      <c r="G2608" s="5">
        <v>0</v>
      </c>
    </row>
    <row r="2609" spans="1:7" ht="15" customHeight="1" x14ac:dyDescent="0.25">
      <c r="A2609" s="2" t="s">
        <v>1911</v>
      </c>
      <c r="B2609" s="2" t="s">
        <v>1912</v>
      </c>
      <c r="C2609" s="3">
        <v>0</v>
      </c>
      <c r="D2609" s="3">
        <v>0</v>
      </c>
      <c r="E2609" s="3">
        <v>0</v>
      </c>
      <c r="F2609" s="3">
        <v>0</v>
      </c>
      <c r="G2609" s="5">
        <v>0</v>
      </c>
    </row>
    <row r="2610" spans="1:7" ht="15" customHeight="1" x14ac:dyDescent="0.25">
      <c r="A2610" s="2" t="s">
        <v>1913</v>
      </c>
      <c r="B2610" s="2" t="s">
        <v>1914</v>
      </c>
      <c r="C2610" s="3">
        <v>67780.759999999995</v>
      </c>
      <c r="D2610" s="3">
        <v>37634.99</v>
      </c>
      <c r="E2610" s="3">
        <v>61629.66</v>
      </c>
      <c r="F2610" s="3">
        <v>85000</v>
      </c>
      <c r="G2610" s="5">
        <v>85000</v>
      </c>
    </row>
    <row r="2611" spans="1:7" ht="15" customHeight="1" x14ac:dyDescent="0.25">
      <c r="A2611" s="2" t="s">
        <v>1915</v>
      </c>
      <c r="B2611" s="2" t="s">
        <v>1916</v>
      </c>
      <c r="C2611" s="3">
        <v>128446.65</v>
      </c>
      <c r="D2611" s="3">
        <v>54647.06</v>
      </c>
      <c r="E2611" s="3">
        <v>108074.45</v>
      </c>
      <c r="F2611" s="3">
        <v>110000</v>
      </c>
      <c r="G2611" s="5">
        <v>135000</v>
      </c>
    </row>
    <row r="2612" spans="1:7" ht="15" customHeight="1" x14ac:dyDescent="0.25">
      <c r="A2612" s="2" t="s">
        <v>1917</v>
      </c>
      <c r="B2612" s="2" t="s">
        <v>905</v>
      </c>
      <c r="C2612" s="3">
        <v>2127.35</v>
      </c>
      <c r="D2612" s="3">
        <v>588.86</v>
      </c>
      <c r="E2612" s="3">
        <v>2194.3000000000002</v>
      </c>
      <c r="F2612" s="3">
        <v>5000</v>
      </c>
      <c r="G2612" s="5">
        <v>5000</v>
      </c>
    </row>
    <row r="2613" spans="1:7" x14ac:dyDescent="0.25">
      <c r="A2613" s="2" t="s">
        <v>1918</v>
      </c>
      <c r="B2613" s="2" t="s">
        <v>1919</v>
      </c>
      <c r="C2613" s="3">
        <v>1359.84</v>
      </c>
      <c r="D2613" s="3">
        <v>2179.88</v>
      </c>
      <c r="E2613" s="3">
        <v>2179.88</v>
      </c>
      <c r="F2613" s="3">
        <v>2179.88</v>
      </c>
      <c r="G2613" s="5">
        <v>2500</v>
      </c>
    </row>
    <row r="2614" spans="1:7" ht="15" customHeight="1" x14ac:dyDescent="0.25">
      <c r="A2614" s="2" t="s">
        <v>1920</v>
      </c>
      <c r="B2614" s="2" t="s">
        <v>57</v>
      </c>
      <c r="C2614" s="3">
        <v>1207.81</v>
      </c>
      <c r="D2614" s="3">
        <v>367.15</v>
      </c>
      <c r="E2614" s="3">
        <v>736.43</v>
      </c>
      <c r="F2614" s="3">
        <v>1200</v>
      </c>
      <c r="G2614" s="5">
        <v>1300</v>
      </c>
    </row>
    <row r="2615" spans="1:7" ht="15" customHeight="1" x14ac:dyDescent="0.25">
      <c r="A2615" s="2" t="s">
        <v>1921</v>
      </c>
      <c r="B2615" s="2" t="s">
        <v>303</v>
      </c>
      <c r="C2615" s="3">
        <v>6182.87</v>
      </c>
      <c r="D2615" s="3">
        <v>5503.82</v>
      </c>
      <c r="E2615" s="3">
        <v>6731.65</v>
      </c>
      <c r="F2615" s="3">
        <v>8000</v>
      </c>
      <c r="G2615" s="5">
        <v>9000</v>
      </c>
    </row>
    <row r="2616" spans="1:7" ht="15" customHeight="1" x14ac:dyDescent="0.25">
      <c r="A2616" s="2" t="s">
        <v>1922</v>
      </c>
      <c r="B2616" s="2" t="s">
        <v>305</v>
      </c>
      <c r="C2616" s="3">
        <v>8569.74</v>
      </c>
      <c r="D2616" s="3">
        <v>3247.67</v>
      </c>
      <c r="E2616" s="3">
        <v>5159.82</v>
      </c>
      <c r="F2616" s="3">
        <v>8000</v>
      </c>
      <c r="G2616" s="5">
        <v>8000</v>
      </c>
    </row>
    <row r="2617" spans="1:7" ht="15" customHeight="1" x14ac:dyDescent="0.25">
      <c r="A2617" s="2" t="s">
        <v>1923</v>
      </c>
      <c r="B2617" s="2" t="s">
        <v>1562</v>
      </c>
      <c r="C2617" s="3">
        <v>746.27</v>
      </c>
      <c r="D2617" s="3">
        <v>248.92</v>
      </c>
      <c r="E2617" s="3">
        <v>479.92</v>
      </c>
      <c r="F2617" s="3">
        <v>700</v>
      </c>
      <c r="G2617" s="5">
        <v>800</v>
      </c>
    </row>
    <row r="2618" spans="1:7" ht="15" customHeight="1" x14ac:dyDescent="0.25">
      <c r="A2618" s="2" t="s">
        <v>1924</v>
      </c>
      <c r="B2618" s="2" t="s">
        <v>947</v>
      </c>
      <c r="C2618" s="3">
        <v>34387.06</v>
      </c>
      <c r="D2618" s="3">
        <v>6779.92</v>
      </c>
      <c r="E2618" s="3">
        <v>12225.23</v>
      </c>
      <c r="F2618" s="3">
        <v>30000</v>
      </c>
      <c r="G2618" s="5">
        <v>30000</v>
      </c>
    </row>
    <row r="2619" spans="1:7" ht="15" customHeight="1" x14ac:dyDescent="0.25">
      <c r="A2619" s="2" t="s">
        <v>1925</v>
      </c>
      <c r="B2619" s="2" t="s">
        <v>64</v>
      </c>
      <c r="C2619" s="3">
        <v>356.24</v>
      </c>
      <c r="D2619" s="3">
        <v>1773.3</v>
      </c>
      <c r="E2619" s="3">
        <v>2153.7800000000002</v>
      </c>
      <c r="F2619" s="3">
        <v>500</v>
      </c>
      <c r="G2619" s="5">
        <v>2500</v>
      </c>
    </row>
    <row r="2620" spans="1:7" ht="15" customHeight="1" x14ac:dyDescent="0.25">
      <c r="A2620" s="2" t="s">
        <v>1926</v>
      </c>
      <c r="B2620" s="2" t="s">
        <v>907</v>
      </c>
      <c r="C2620" s="3">
        <v>34646.449999999997</v>
      </c>
      <c r="D2620" s="3">
        <v>30714.7</v>
      </c>
      <c r="E2620" s="3">
        <v>30714.7</v>
      </c>
      <c r="F2620" s="3">
        <v>30714.7</v>
      </c>
      <c r="G2620" s="5">
        <v>34646.449999999997</v>
      </c>
    </row>
    <row r="2621" spans="1:7" x14ac:dyDescent="0.25">
      <c r="A2621" s="2" t="s">
        <v>2</v>
      </c>
      <c r="B2621" s="2" t="s">
        <v>2</v>
      </c>
      <c r="C2621" s="2" t="s">
        <v>2</v>
      </c>
      <c r="D2621" s="2" t="s">
        <v>2</v>
      </c>
      <c r="E2621" s="2"/>
      <c r="F2621" s="2" t="s">
        <v>2</v>
      </c>
      <c r="G2621" s="2" t="s">
        <v>2</v>
      </c>
    </row>
    <row r="2622" spans="1:7" x14ac:dyDescent="0.25">
      <c r="A2622" s="1" t="s">
        <v>1927</v>
      </c>
      <c r="B2622" s="1" t="s">
        <v>2</v>
      </c>
    </row>
    <row r="2623" spans="1:7" ht="15" customHeight="1" x14ac:dyDescent="0.25">
      <c r="A2623" s="2" t="s">
        <v>1928</v>
      </c>
      <c r="B2623" s="2" t="s">
        <v>1929</v>
      </c>
      <c r="C2623" s="3">
        <v>10131.719999999999</v>
      </c>
      <c r="D2623" s="3">
        <v>6580.93</v>
      </c>
      <c r="E2623" s="3">
        <v>9182.4500000000007</v>
      </c>
      <c r="F2623" s="3">
        <v>0</v>
      </c>
      <c r="G2623" s="59">
        <v>0</v>
      </c>
    </row>
    <row r="2624" spans="1:7" ht="15" customHeight="1" x14ac:dyDescent="0.25">
      <c r="A2624" s="2" t="s">
        <v>1930</v>
      </c>
      <c r="B2624" s="2" t="s">
        <v>1931</v>
      </c>
      <c r="C2624" s="3">
        <v>22105.24</v>
      </c>
      <c r="D2624" s="3">
        <v>8062.08</v>
      </c>
      <c r="E2624" s="3">
        <v>8062.08</v>
      </c>
      <c r="F2624" s="3">
        <v>8500</v>
      </c>
      <c r="G2624" s="59">
        <v>0</v>
      </c>
    </row>
    <row r="2625" spans="1:7" ht="15" customHeight="1" x14ac:dyDescent="0.25">
      <c r="A2625" s="2" t="s">
        <v>1932</v>
      </c>
      <c r="B2625" s="2" t="s">
        <v>1933</v>
      </c>
      <c r="C2625" s="3">
        <v>0</v>
      </c>
      <c r="D2625" s="3">
        <v>13912.71</v>
      </c>
      <c r="E2625" s="3">
        <v>15189.28</v>
      </c>
      <c r="F2625" s="3">
        <v>0</v>
      </c>
      <c r="G2625" s="59">
        <v>0</v>
      </c>
    </row>
    <row r="2626" spans="1:7" ht="15" customHeight="1" x14ac:dyDescent="0.25">
      <c r="A2626" s="2" t="s">
        <v>1934</v>
      </c>
      <c r="B2626" s="2" t="s">
        <v>1935</v>
      </c>
      <c r="C2626" s="3">
        <v>117782.52</v>
      </c>
      <c r="D2626" s="3">
        <v>70884.59</v>
      </c>
      <c r="E2626" s="3">
        <v>96303.07</v>
      </c>
      <c r="F2626" s="3">
        <v>201790.92</v>
      </c>
      <c r="G2626" s="59">
        <v>0</v>
      </c>
    </row>
    <row r="2627" spans="1:7" ht="15" customHeight="1" x14ac:dyDescent="0.25">
      <c r="A2627" s="2" t="s">
        <v>1936</v>
      </c>
      <c r="B2627" s="2" t="s">
        <v>1937</v>
      </c>
      <c r="C2627" s="3">
        <v>14201.38</v>
      </c>
      <c r="D2627" s="3">
        <v>4925.67</v>
      </c>
      <c r="E2627" s="3">
        <v>8367.19</v>
      </c>
      <c r="F2627" s="3">
        <v>0</v>
      </c>
      <c r="G2627" s="59">
        <v>0</v>
      </c>
    </row>
    <row r="2628" spans="1:7" ht="15" customHeight="1" x14ac:dyDescent="0.25">
      <c r="A2628" s="2" t="s">
        <v>1938</v>
      </c>
      <c r="B2628" s="2" t="s">
        <v>1939</v>
      </c>
      <c r="C2628" s="3">
        <v>0</v>
      </c>
      <c r="D2628" s="3">
        <v>24712.46</v>
      </c>
      <c r="E2628" s="3">
        <v>24712.46</v>
      </c>
      <c r="F2628" s="3">
        <v>0</v>
      </c>
      <c r="G2628" s="59">
        <v>0</v>
      </c>
    </row>
    <row r="2629" spans="1:7" ht="15" customHeight="1" x14ac:dyDescent="0.25">
      <c r="A2629" s="2" t="s">
        <v>1940</v>
      </c>
      <c r="B2629" s="2" t="s">
        <v>1941</v>
      </c>
      <c r="C2629" s="3">
        <v>7869.48</v>
      </c>
      <c r="D2629" s="3">
        <v>0</v>
      </c>
      <c r="E2629" s="3">
        <v>0</v>
      </c>
      <c r="F2629" s="3">
        <v>0</v>
      </c>
      <c r="G2629" s="59">
        <v>0</v>
      </c>
    </row>
    <row r="2630" spans="1:7" ht="15" customHeight="1" x14ac:dyDescent="0.25">
      <c r="A2630" s="2" t="s">
        <v>1942</v>
      </c>
      <c r="B2630" s="2" t="s">
        <v>1943</v>
      </c>
      <c r="C2630" s="3">
        <v>0</v>
      </c>
      <c r="D2630" s="3">
        <v>0</v>
      </c>
      <c r="E2630" s="3">
        <v>0</v>
      </c>
      <c r="F2630" s="3">
        <v>0</v>
      </c>
      <c r="G2630" s="59">
        <v>0</v>
      </c>
    </row>
    <row r="2631" spans="1:7" ht="15" customHeight="1" x14ac:dyDescent="0.25">
      <c r="A2631" s="2" t="s">
        <v>1944</v>
      </c>
      <c r="B2631" s="2" t="s">
        <v>1945</v>
      </c>
      <c r="C2631" s="3">
        <v>0</v>
      </c>
      <c r="D2631" s="3">
        <v>0</v>
      </c>
      <c r="E2631" s="3">
        <v>0</v>
      </c>
      <c r="F2631" s="3">
        <v>0</v>
      </c>
      <c r="G2631" s="59">
        <v>0</v>
      </c>
    </row>
    <row r="2632" spans="1:7" ht="15" customHeight="1" x14ac:dyDescent="0.25">
      <c r="A2632" s="2" t="s">
        <v>1946</v>
      </c>
      <c r="B2632" s="2" t="s">
        <v>1947</v>
      </c>
      <c r="C2632" s="3">
        <v>95402.58</v>
      </c>
      <c r="D2632" s="3">
        <v>0</v>
      </c>
      <c r="E2632" s="3">
        <v>0</v>
      </c>
      <c r="F2632" s="3">
        <v>0</v>
      </c>
      <c r="G2632" s="59">
        <v>0</v>
      </c>
    </row>
    <row r="2633" spans="1:7" ht="15" customHeight="1" x14ac:dyDescent="0.25">
      <c r="A2633" s="2" t="s">
        <v>1948</v>
      </c>
      <c r="B2633" s="2" t="s">
        <v>1949</v>
      </c>
      <c r="C2633" s="3">
        <v>0</v>
      </c>
      <c r="D2633" s="3">
        <v>0</v>
      </c>
      <c r="E2633" s="3">
        <v>0</v>
      </c>
      <c r="F2633" s="3">
        <v>0</v>
      </c>
      <c r="G2633" s="59">
        <v>0</v>
      </c>
    </row>
    <row r="2634" spans="1:7" ht="15" customHeight="1" x14ac:dyDescent="0.25">
      <c r="A2634" s="2" t="s">
        <v>1950</v>
      </c>
      <c r="B2634" s="2" t="s">
        <v>1951</v>
      </c>
      <c r="C2634" s="3">
        <v>0</v>
      </c>
      <c r="D2634" s="3">
        <v>0</v>
      </c>
      <c r="E2634" s="3">
        <v>0</v>
      </c>
      <c r="F2634" s="3">
        <v>40000</v>
      </c>
      <c r="G2634" s="59">
        <v>0</v>
      </c>
    </row>
    <row r="2635" spans="1:7" ht="15" customHeight="1" x14ac:dyDescent="0.25">
      <c r="A2635" s="2" t="s">
        <v>1952</v>
      </c>
      <c r="B2635" s="2" t="s">
        <v>1953</v>
      </c>
      <c r="C2635" s="3">
        <v>0</v>
      </c>
      <c r="D2635" s="3">
        <v>0</v>
      </c>
      <c r="E2635" s="3">
        <v>0</v>
      </c>
      <c r="F2635" s="3">
        <v>40000</v>
      </c>
      <c r="G2635" s="59">
        <v>0</v>
      </c>
    </row>
    <row r="2636" spans="1:7" ht="15" customHeight="1" x14ac:dyDescent="0.25">
      <c r="A2636" s="2" t="s">
        <v>1954</v>
      </c>
      <c r="B2636" s="2" t="s">
        <v>1955</v>
      </c>
      <c r="C2636" s="3">
        <v>0</v>
      </c>
      <c r="D2636" s="3">
        <v>0</v>
      </c>
      <c r="E2636" s="3">
        <v>0</v>
      </c>
      <c r="F2636" s="3">
        <v>90000</v>
      </c>
      <c r="G2636" s="59">
        <v>0</v>
      </c>
    </row>
    <row r="2637" spans="1:7" ht="15" customHeight="1" x14ac:dyDescent="0.25">
      <c r="A2637" s="2" t="s">
        <v>1956</v>
      </c>
      <c r="B2637" s="2" t="s">
        <v>1957</v>
      </c>
      <c r="C2637" s="3">
        <v>0</v>
      </c>
      <c r="D2637" s="3">
        <v>0</v>
      </c>
      <c r="E2637" s="3">
        <v>0</v>
      </c>
      <c r="F2637" s="3">
        <v>40000</v>
      </c>
      <c r="G2637" s="59">
        <v>0</v>
      </c>
    </row>
    <row r="2638" spans="1:7" ht="15" customHeight="1" x14ac:dyDescent="0.25">
      <c r="A2638" s="2" t="s">
        <v>1958</v>
      </c>
      <c r="B2638" s="2" t="s">
        <v>1959</v>
      </c>
      <c r="C2638" s="3">
        <v>0</v>
      </c>
      <c r="D2638" s="3">
        <v>0</v>
      </c>
      <c r="E2638" s="3">
        <v>0</v>
      </c>
      <c r="F2638" s="3">
        <v>40000</v>
      </c>
      <c r="G2638" s="59">
        <v>0</v>
      </c>
    </row>
    <row r="2639" spans="1:7" ht="15" customHeight="1" x14ac:dyDescent="0.25">
      <c r="A2639" s="2" t="s">
        <v>1960</v>
      </c>
      <c r="B2639" s="2" t="s">
        <v>1961</v>
      </c>
      <c r="C2639" s="3">
        <v>0</v>
      </c>
      <c r="D2639" s="3">
        <v>0</v>
      </c>
      <c r="E2639" s="3">
        <v>0</v>
      </c>
      <c r="F2639" s="3">
        <v>40000</v>
      </c>
      <c r="G2639" s="59">
        <v>0</v>
      </c>
    </row>
    <row r="2640" spans="1:7" ht="15" customHeight="1" x14ac:dyDescent="0.25">
      <c r="A2640" s="2" t="s">
        <v>1962</v>
      </c>
      <c r="B2640" s="2" t="s">
        <v>1963</v>
      </c>
      <c r="C2640" s="3">
        <v>0</v>
      </c>
      <c r="D2640" s="3">
        <v>0</v>
      </c>
      <c r="E2640" s="3">
        <v>0</v>
      </c>
      <c r="F2640" s="3">
        <v>40000</v>
      </c>
      <c r="G2640" s="59">
        <v>0</v>
      </c>
    </row>
    <row r="2641" spans="1:7" ht="15" customHeight="1" x14ac:dyDescent="0.25">
      <c r="A2641" s="2" t="s">
        <v>1964</v>
      </c>
      <c r="B2641" s="2" t="s">
        <v>1965</v>
      </c>
      <c r="C2641" s="3">
        <v>0</v>
      </c>
      <c r="D2641" s="3">
        <v>0</v>
      </c>
      <c r="E2641" s="3">
        <v>16439.57</v>
      </c>
      <c r="F2641" s="3">
        <v>25000</v>
      </c>
      <c r="G2641" s="59">
        <v>0</v>
      </c>
    </row>
    <row r="2642" spans="1:7" ht="15" customHeight="1" x14ac:dyDescent="0.25">
      <c r="A2642" s="2" t="s">
        <v>1966</v>
      </c>
      <c r="B2642" s="2" t="s">
        <v>1967</v>
      </c>
      <c r="C2642" s="3">
        <v>0</v>
      </c>
      <c r="D2642" s="3">
        <v>0</v>
      </c>
      <c r="E2642" s="3">
        <v>0</v>
      </c>
      <c r="F2642" s="3">
        <v>190000</v>
      </c>
      <c r="G2642" s="59">
        <v>0</v>
      </c>
    </row>
    <row r="2643" spans="1:7" x14ac:dyDescent="0.25">
      <c r="A2643" s="2" t="s">
        <v>1968</v>
      </c>
      <c r="B2643" s="2" t="s">
        <v>1969</v>
      </c>
      <c r="C2643" s="3">
        <v>0</v>
      </c>
      <c r="D2643" s="3">
        <v>0</v>
      </c>
      <c r="E2643" s="3">
        <v>16584.05</v>
      </c>
      <c r="F2643" s="3">
        <v>25000</v>
      </c>
      <c r="G2643" s="59">
        <v>0</v>
      </c>
    </row>
    <row r="2644" spans="1:7" ht="15" customHeight="1" x14ac:dyDescent="0.25">
      <c r="A2644" s="2" t="s">
        <v>1970</v>
      </c>
      <c r="B2644" s="2" t="s">
        <v>1971</v>
      </c>
      <c r="C2644" s="3">
        <v>0</v>
      </c>
      <c r="D2644" s="3">
        <v>0</v>
      </c>
      <c r="E2644" s="3">
        <v>0</v>
      </c>
      <c r="F2644" s="3">
        <v>60000</v>
      </c>
      <c r="G2644" s="59">
        <v>0</v>
      </c>
    </row>
    <row r="2645" spans="1:7" ht="15" customHeight="1" x14ac:dyDescent="0.25">
      <c r="A2645" s="2" t="s">
        <v>1972</v>
      </c>
      <c r="B2645" s="2" t="s">
        <v>1973</v>
      </c>
      <c r="C2645" s="3">
        <v>0</v>
      </c>
      <c r="D2645" s="3">
        <v>7415.48</v>
      </c>
      <c r="E2645" s="3">
        <v>7415.48</v>
      </c>
      <c r="F2645" s="3">
        <v>7000</v>
      </c>
      <c r="G2645" s="59">
        <v>0</v>
      </c>
    </row>
    <row r="2646" spans="1:7" ht="15" customHeight="1" x14ac:dyDescent="0.25">
      <c r="A2646" s="2" t="s">
        <v>1974</v>
      </c>
      <c r="B2646" s="2" t="s">
        <v>1975</v>
      </c>
      <c r="C2646" s="3">
        <v>70572.14</v>
      </c>
      <c r="D2646" s="3">
        <v>0</v>
      </c>
      <c r="E2646" s="3">
        <v>0</v>
      </c>
      <c r="F2646" s="3">
        <v>0</v>
      </c>
      <c r="G2646" s="59">
        <v>0</v>
      </c>
    </row>
    <row r="2647" spans="1:7" ht="15" customHeight="1" x14ac:dyDescent="0.25">
      <c r="A2647" s="2" t="s">
        <v>1976</v>
      </c>
      <c r="B2647" s="2" t="s">
        <v>1977</v>
      </c>
      <c r="C2647" s="3">
        <v>34448.65</v>
      </c>
      <c r="D2647" s="3">
        <v>0</v>
      </c>
      <c r="E2647" s="3">
        <v>0</v>
      </c>
      <c r="F2647" s="3">
        <v>0</v>
      </c>
      <c r="G2647" s="59">
        <v>0</v>
      </c>
    </row>
    <row r="2648" spans="1:7" ht="15" customHeight="1" x14ac:dyDescent="0.25">
      <c r="A2648" s="2" t="s">
        <v>1978</v>
      </c>
      <c r="B2648" s="2" t="s">
        <v>1979</v>
      </c>
      <c r="C2648" s="3">
        <v>116569.46</v>
      </c>
      <c r="D2648" s="3">
        <v>0</v>
      </c>
      <c r="E2648" s="3">
        <v>0</v>
      </c>
      <c r="F2648" s="3">
        <v>0</v>
      </c>
      <c r="G2648" s="59">
        <v>0</v>
      </c>
    </row>
    <row r="2649" spans="1:7" ht="15" customHeight="1" x14ac:dyDescent="0.25">
      <c r="A2649" s="2" t="s">
        <v>1980</v>
      </c>
      <c r="B2649" s="2" t="s">
        <v>1981</v>
      </c>
      <c r="C2649" s="3">
        <v>78228.100000000006</v>
      </c>
      <c r="D2649" s="3">
        <v>0</v>
      </c>
      <c r="E2649" s="3">
        <v>0</v>
      </c>
      <c r="F2649" s="3">
        <v>0</v>
      </c>
      <c r="G2649" s="59">
        <v>0</v>
      </c>
    </row>
    <row r="2650" spans="1:7" ht="15" customHeight="1" x14ac:dyDescent="0.25">
      <c r="A2650" s="2" t="s">
        <v>1982</v>
      </c>
      <c r="B2650" s="2" t="s">
        <v>1983</v>
      </c>
      <c r="C2650" s="3">
        <v>74322.5</v>
      </c>
      <c r="D2650" s="3">
        <v>0</v>
      </c>
      <c r="E2650" s="3">
        <v>0</v>
      </c>
      <c r="F2650" s="3">
        <v>0</v>
      </c>
      <c r="G2650" s="59">
        <v>0</v>
      </c>
    </row>
    <row r="2651" spans="1:7" ht="15" customHeight="1" x14ac:dyDescent="0.25">
      <c r="A2651" s="2" t="s">
        <v>1984</v>
      </c>
      <c r="B2651" s="2" t="s">
        <v>1985</v>
      </c>
      <c r="C2651" s="3">
        <v>33976.43</v>
      </c>
      <c r="D2651" s="3">
        <v>0</v>
      </c>
      <c r="E2651" s="3">
        <v>0</v>
      </c>
      <c r="F2651" s="3">
        <v>0</v>
      </c>
      <c r="G2651" s="59">
        <v>0</v>
      </c>
    </row>
    <row r="2652" spans="1:7" ht="15" customHeight="1" x14ac:dyDescent="0.25">
      <c r="A2652" s="2" t="s">
        <v>1986</v>
      </c>
      <c r="B2652" s="2" t="s">
        <v>1987</v>
      </c>
      <c r="C2652" s="3">
        <v>0</v>
      </c>
      <c r="D2652" s="3">
        <v>0</v>
      </c>
      <c r="E2652" s="3">
        <v>0</v>
      </c>
      <c r="F2652" s="3">
        <v>0</v>
      </c>
      <c r="G2652" s="59">
        <v>0</v>
      </c>
    </row>
    <row r="2653" spans="1:7" ht="15" customHeight="1" x14ac:dyDescent="0.25">
      <c r="A2653" s="2" t="s">
        <v>1988</v>
      </c>
      <c r="B2653" s="2" t="s">
        <v>1989</v>
      </c>
      <c r="C2653" s="3">
        <v>0</v>
      </c>
      <c r="D2653" s="3">
        <v>0</v>
      </c>
      <c r="E2653" s="3">
        <v>0</v>
      </c>
      <c r="F2653" s="3">
        <v>0</v>
      </c>
      <c r="G2653" s="59">
        <v>0</v>
      </c>
    </row>
    <row r="2654" spans="1:7" ht="15" customHeight="1" x14ac:dyDescent="0.25">
      <c r="A2654" s="2" t="s">
        <v>1990</v>
      </c>
      <c r="B2654" s="2" t="s">
        <v>1991</v>
      </c>
      <c r="C2654" s="3">
        <v>0</v>
      </c>
      <c r="D2654" s="3">
        <v>0</v>
      </c>
      <c r="E2654" s="3">
        <v>0</v>
      </c>
      <c r="F2654" s="3">
        <v>0</v>
      </c>
      <c r="G2654" s="59">
        <v>0</v>
      </c>
    </row>
    <row r="2655" spans="1:7" ht="15" customHeight="1" x14ac:dyDescent="0.25">
      <c r="A2655" s="2" t="s">
        <v>1992</v>
      </c>
      <c r="B2655" s="2" t="s">
        <v>1993</v>
      </c>
      <c r="C2655" s="3">
        <v>0</v>
      </c>
      <c r="D2655" s="3">
        <v>0</v>
      </c>
      <c r="E2655" s="3">
        <v>0</v>
      </c>
      <c r="F2655" s="3">
        <v>0</v>
      </c>
      <c r="G2655" s="59">
        <v>0</v>
      </c>
    </row>
    <row r="2656" spans="1:7" ht="15" customHeight="1" x14ac:dyDescent="0.25">
      <c r="A2656" s="2" t="s">
        <v>1994</v>
      </c>
      <c r="B2656" s="2" t="s">
        <v>1995</v>
      </c>
      <c r="C2656" s="3">
        <v>0</v>
      </c>
      <c r="D2656" s="3">
        <v>0</v>
      </c>
      <c r="E2656" s="3">
        <v>0</v>
      </c>
      <c r="F2656" s="3">
        <v>0</v>
      </c>
      <c r="G2656" s="59">
        <v>0</v>
      </c>
    </row>
    <row r="2657" spans="1:8" ht="15" customHeight="1" x14ac:dyDescent="0.25">
      <c r="A2657" s="2" t="s">
        <v>1996</v>
      </c>
      <c r="B2657" s="2" t="s">
        <v>1997</v>
      </c>
      <c r="C2657" s="3">
        <v>40277.4</v>
      </c>
      <c r="D2657" s="3">
        <v>0</v>
      </c>
      <c r="E2657" s="3">
        <v>0</v>
      </c>
      <c r="F2657" s="3">
        <v>0</v>
      </c>
      <c r="G2657" s="59">
        <v>0</v>
      </c>
    </row>
    <row r="2658" spans="1:8" ht="15" customHeight="1" x14ac:dyDescent="0.25">
      <c r="A2658" s="1" t="s">
        <v>1998</v>
      </c>
      <c r="B2658" s="1" t="s">
        <v>2</v>
      </c>
      <c r="C2658" s="4">
        <v>715887.6</v>
      </c>
      <c r="D2658" s="4">
        <v>136493.92000000001</v>
      </c>
      <c r="E2658" s="4">
        <f>SUM(E2623:E2657)</f>
        <v>202255.63</v>
      </c>
      <c r="F2658" s="6">
        <f>SUM(F2623:F2657)</f>
        <v>847290.92</v>
      </c>
      <c r="G2658" s="6">
        <f>SUM(G2623:G2657)</f>
        <v>0</v>
      </c>
    </row>
    <row r="2659" spans="1:8" x14ac:dyDescent="0.25">
      <c r="A2659" s="1" t="s">
        <v>2</v>
      </c>
      <c r="B2659" s="1" t="s">
        <v>2</v>
      </c>
      <c r="C2659" s="1" t="s">
        <v>2</v>
      </c>
      <c r="D2659" s="1" t="s">
        <v>2</v>
      </c>
      <c r="E2659" s="1"/>
      <c r="F2659" s="1" t="s">
        <v>2</v>
      </c>
      <c r="G2659" s="1" t="s">
        <v>2</v>
      </c>
    </row>
    <row r="2660" spans="1:8" ht="15" customHeight="1" x14ac:dyDescent="0.25">
      <c r="A2660" s="1" t="s">
        <v>1999</v>
      </c>
      <c r="B2660" s="1" t="s">
        <v>2</v>
      </c>
      <c r="C2660" s="4">
        <v>1260842.58</v>
      </c>
      <c r="D2660" s="4">
        <v>391524.14</v>
      </c>
      <c r="E2660" s="4">
        <f>SUM(E2598:E2620)+E2658</f>
        <v>617613.24</v>
      </c>
      <c r="F2660" s="6">
        <f>F2658+SUM(F2598:F2620)</f>
        <v>1460066.29</v>
      </c>
      <c r="G2660" s="6">
        <f>G2658+SUM(G2598:G2620)</f>
        <v>659148.31900000002</v>
      </c>
    </row>
    <row r="2661" spans="1:8" ht="15" customHeight="1" x14ac:dyDescent="0.25">
      <c r="A2661" s="25" t="s">
        <v>3180</v>
      </c>
      <c r="B2661" s="25"/>
      <c r="C2661" s="33">
        <f>C2550+C2595-C2660</f>
        <v>306422.26999999979</v>
      </c>
      <c r="D2661" s="33">
        <f t="shared" ref="D2661:G2661" si="72">D2550+D2595-D2660</f>
        <v>582950.69999999995</v>
      </c>
      <c r="E2661" s="33">
        <f t="shared" si="72"/>
        <v>369782.70999999996</v>
      </c>
      <c r="F2661" s="33">
        <f t="shared" si="72"/>
        <v>161165.43999999994</v>
      </c>
      <c r="G2661" s="33">
        <f t="shared" si="72"/>
        <v>-497982.87900000007</v>
      </c>
      <c r="H2661" s="25"/>
    </row>
    <row r="2662" spans="1:8" x14ac:dyDescent="0.25">
      <c r="A2662" s="1" t="s">
        <v>2</v>
      </c>
      <c r="B2662" s="1" t="s">
        <v>2</v>
      </c>
      <c r="C2662" s="1" t="s">
        <v>2</v>
      </c>
      <c r="D2662" s="1" t="s">
        <v>2</v>
      </c>
      <c r="E2662" s="1"/>
      <c r="F2662" s="1" t="s">
        <v>2</v>
      </c>
      <c r="G2662" s="1" t="s">
        <v>2</v>
      </c>
    </row>
    <row r="2663" spans="1:8" ht="15" customHeight="1" x14ac:dyDescent="0.25">
      <c r="A2663" s="27" t="s">
        <v>3181</v>
      </c>
      <c r="B2663" s="27"/>
      <c r="C2663" s="28">
        <v>0</v>
      </c>
      <c r="D2663" s="28">
        <v>179</v>
      </c>
      <c r="E2663" s="28">
        <v>179</v>
      </c>
      <c r="F2663" s="28">
        <v>179</v>
      </c>
      <c r="G2663" s="28">
        <f>F2692</f>
        <v>179</v>
      </c>
      <c r="H2663" s="27"/>
    </row>
    <row r="2664" spans="1:8" x14ac:dyDescent="0.25">
      <c r="A2664" s="23" t="s">
        <v>2000</v>
      </c>
      <c r="B2664" s="23" t="s">
        <v>2</v>
      </c>
      <c r="C2664" s="29"/>
      <c r="D2664" s="29"/>
      <c r="E2664" s="29"/>
      <c r="F2664" s="29"/>
      <c r="G2664" s="29"/>
      <c r="H2664" s="29"/>
    </row>
    <row r="2665" spans="1:8" x14ac:dyDescent="0.25">
      <c r="A2665" s="23" t="s">
        <v>2026</v>
      </c>
      <c r="B2665" s="23" t="s">
        <v>2</v>
      </c>
      <c r="C2665" s="29"/>
      <c r="D2665" s="29"/>
      <c r="E2665" s="29"/>
      <c r="F2665" s="29"/>
      <c r="G2665" s="29"/>
      <c r="H2665" s="29"/>
    </row>
    <row r="2666" spans="1:8" x14ac:dyDescent="0.25">
      <c r="A2666" s="23" t="s">
        <v>2945</v>
      </c>
      <c r="B2666" s="23" t="s">
        <v>2</v>
      </c>
      <c r="C2666" s="29"/>
      <c r="D2666" s="29"/>
      <c r="E2666" s="29"/>
      <c r="F2666" s="29"/>
      <c r="G2666" s="29"/>
      <c r="H2666" s="29"/>
    </row>
    <row r="2667" spans="1:8" x14ac:dyDescent="0.25">
      <c r="A2667" s="30" t="s">
        <v>3182</v>
      </c>
      <c r="B2667" s="30" t="s">
        <v>3183</v>
      </c>
      <c r="C2667" s="31">
        <v>2066.08</v>
      </c>
      <c r="D2667" s="31">
        <v>586.54</v>
      </c>
      <c r="E2667" s="31">
        <v>1010.3</v>
      </c>
      <c r="F2667" s="31">
        <v>0</v>
      </c>
      <c r="G2667" s="58">
        <v>0</v>
      </c>
      <c r="H2667" s="29"/>
    </row>
    <row r="2668" spans="1:8" x14ac:dyDescent="0.25">
      <c r="A2668" s="30" t="s">
        <v>3184</v>
      </c>
      <c r="B2668" s="30" t="s">
        <v>704</v>
      </c>
      <c r="C2668" s="31">
        <v>0</v>
      </c>
      <c r="D2668" s="31">
        <v>0</v>
      </c>
      <c r="E2668" s="31">
        <v>0</v>
      </c>
      <c r="F2668" s="31">
        <v>0</v>
      </c>
      <c r="G2668" s="58">
        <v>0</v>
      </c>
      <c r="H2668" s="29"/>
    </row>
    <row r="2669" spans="1:8" x14ac:dyDescent="0.25">
      <c r="A2669" s="30" t="s">
        <v>3185</v>
      </c>
      <c r="B2669" s="30" t="s">
        <v>3186</v>
      </c>
      <c r="C2669" s="31">
        <v>120358.47</v>
      </c>
      <c r="D2669" s="31">
        <v>32625.24</v>
      </c>
      <c r="E2669" s="31">
        <v>51663.39</v>
      </c>
      <c r="F2669" s="31">
        <v>234000</v>
      </c>
      <c r="G2669" s="58">
        <v>0</v>
      </c>
      <c r="H2669" s="29"/>
    </row>
    <row r="2670" spans="1:8" x14ac:dyDescent="0.25">
      <c r="A2670" s="23" t="s">
        <v>2951</v>
      </c>
      <c r="B2670" s="23" t="s">
        <v>2</v>
      </c>
      <c r="C2670" s="32">
        <v>122424.55</v>
      </c>
      <c r="D2670" s="32">
        <v>33211.78</v>
      </c>
      <c r="E2670" s="32">
        <f>SUM(E2667:E2669)</f>
        <v>52673.69</v>
      </c>
      <c r="F2670" s="32">
        <f>SUM(F2667:F2669)</f>
        <v>234000</v>
      </c>
      <c r="G2670" s="32">
        <f>SUM(G2667:G2669)</f>
        <v>0</v>
      </c>
      <c r="H2670" s="29"/>
    </row>
    <row r="2671" spans="1:8" x14ac:dyDescent="0.25">
      <c r="A2671" s="23" t="s">
        <v>2</v>
      </c>
      <c r="B2671" s="23" t="s">
        <v>2</v>
      </c>
      <c r="C2671" s="23" t="s">
        <v>2</v>
      </c>
      <c r="D2671" s="23" t="s">
        <v>2</v>
      </c>
      <c r="E2671" s="23"/>
      <c r="F2671" s="23" t="s">
        <v>2</v>
      </c>
      <c r="G2671" s="23" t="s">
        <v>2</v>
      </c>
      <c r="H2671" s="29"/>
    </row>
    <row r="2672" spans="1:8" x14ac:dyDescent="0.25">
      <c r="A2672" s="23" t="s">
        <v>2945</v>
      </c>
      <c r="B2672" s="23" t="s">
        <v>2</v>
      </c>
      <c r="C2672" s="29"/>
      <c r="D2672" s="29"/>
      <c r="E2672" s="29"/>
      <c r="F2672" s="29"/>
      <c r="G2672" s="29"/>
      <c r="H2672" s="29"/>
    </row>
    <row r="2673" spans="1:8" x14ac:dyDescent="0.25">
      <c r="A2673" s="30" t="s">
        <v>3187</v>
      </c>
      <c r="B2673" s="30" t="s">
        <v>3188</v>
      </c>
      <c r="C2673" s="31">
        <v>3320</v>
      </c>
      <c r="D2673" s="31">
        <v>1178.5</v>
      </c>
      <c r="E2673" s="31">
        <v>1957.5</v>
      </c>
      <c r="F2673" s="31">
        <v>2000</v>
      </c>
      <c r="G2673" s="58">
        <v>0</v>
      </c>
      <c r="H2673" s="29"/>
    </row>
    <row r="2674" spans="1:8" x14ac:dyDescent="0.25">
      <c r="A2674" s="30" t="s">
        <v>3189</v>
      </c>
      <c r="B2674" s="30" t="s">
        <v>2007</v>
      </c>
      <c r="C2674" s="31">
        <v>4948</v>
      </c>
      <c r="D2674" s="31">
        <v>2673</v>
      </c>
      <c r="E2674" s="31">
        <v>4162</v>
      </c>
      <c r="F2674" s="31">
        <v>3500</v>
      </c>
      <c r="G2674" s="58">
        <v>0</v>
      </c>
      <c r="H2674" s="29"/>
    </row>
    <row r="2675" spans="1:8" x14ac:dyDescent="0.25">
      <c r="A2675" s="30" t="s">
        <v>3190</v>
      </c>
      <c r="B2675" s="30" t="s">
        <v>2009</v>
      </c>
      <c r="C2675" s="31">
        <v>1828.5</v>
      </c>
      <c r="D2675" s="31">
        <v>768.5</v>
      </c>
      <c r="E2675" s="31">
        <v>1523.75</v>
      </c>
      <c r="F2675" s="31">
        <v>1200</v>
      </c>
      <c r="G2675" s="58">
        <v>0</v>
      </c>
      <c r="H2675" s="29"/>
    </row>
    <row r="2676" spans="1:8" x14ac:dyDescent="0.25">
      <c r="A2676" s="23" t="s">
        <v>2951</v>
      </c>
      <c r="B2676" s="23" t="s">
        <v>2</v>
      </c>
      <c r="C2676" s="32">
        <v>10096.5</v>
      </c>
      <c r="D2676" s="32">
        <v>4620</v>
      </c>
      <c r="E2676" s="32">
        <f>SUM(E2673:E2675)</f>
        <v>7643.25</v>
      </c>
      <c r="F2676" s="32">
        <f>SUM(F2673:F2675)</f>
        <v>6700</v>
      </c>
      <c r="G2676" s="32">
        <f>SUM(G2673:G2675)</f>
        <v>0</v>
      </c>
      <c r="H2676" s="29"/>
    </row>
    <row r="2677" spans="1:8" x14ac:dyDescent="0.25">
      <c r="A2677" s="23"/>
      <c r="B2677" s="23" t="s">
        <v>2</v>
      </c>
      <c r="C2677" s="23" t="s">
        <v>2</v>
      </c>
      <c r="D2677" s="23" t="s">
        <v>2</v>
      </c>
      <c r="E2677" s="23"/>
      <c r="F2677" s="23" t="s">
        <v>2</v>
      </c>
      <c r="G2677" s="23" t="s">
        <v>2</v>
      </c>
      <c r="H2677" s="29"/>
    </row>
    <row r="2678" spans="1:8" x14ac:dyDescent="0.25">
      <c r="A2678" s="23" t="s">
        <v>2014</v>
      </c>
      <c r="B2678" s="23" t="s">
        <v>2</v>
      </c>
      <c r="C2678" s="32">
        <v>132521.04999999999</v>
      </c>
      <c r="D2678" s="32">
        <v>37831.78</v>
      </c>
      <c r="E2678" s="32">
        <f>E2670+E2676</f>
        <v>60316.94</v>
      </c>
      <c r="F2678" s="32">
        <f>F2676+F2670</f>
        <v>240700</v>
      </c>
      <c r="G2678" s="32">
        <f>G2676+G2670</f>
        <v>0</v>
      </c>
      <c r="H2678" s="29"/>
    </row>
    <row r="2679" spans="1:8" x14ac:dyDescent="0.25">
      <c r="A2679" s="1" t="s">
        <v>740</v>
      </c>
      <c r="B2679" s="1" t="s">
        <v>2</v>
      </c>
      <c r="C2679" s="1" t="s">
        <v>2</v>
      </c>
      <c r="D2679" s="1" t="s">
        <v>2</v>
      </c>
      <c r="E2679" s="1"/>
      <c r="F2679" s="1" t="s">
        <v>2</v>
      </c>
      <c r="G2679" s="1" t="s">
        <v>2</v>
      </c>
    </row>
    <row r="2680" spans="1:8" x14ac:dyDescent="0.25">
      <c r="A2680" s="1" t="s">
        <v>2000</v>
      </c>
      <c r="B2680" s="1" t="s">
        <v>2</v>
      </c>
      <c r="C2680" s="40"/>
      <c r="F2680" s="40"/>
    </row>
    <row r="2681" spans="1:8" ht="15" customHeight="1" x14ac:dyDescent="0.25">
      <c r="A2681" s="1" t="s">
        <v>698</v>
      </c>
      <c r="B2681" s="1" t="s">
        <v>2</v>
      </c>
    </row>
    <row r="2682" spans="1:8" ht="15" customHeight="1" x14ac:dyDescent="0.25">
      <c r="A2682" s="2" t="s">
        <v>2001</v>
      </c>
      <c r="B2682" s="2" t="s">
        <v>2002</v>
      </c>
      <c r="C2682" s="3">
        <v>2066.08</v>
      </c>
      <c r="D2682" s="3">
        <v>480.26</v>
      </c>
      <c r="E2682" s="3">
        <v>920.8</v>
      </c>
      <c r="F2682" s="3">
        <v>4000</v>
      </c>
      <c r="G2682" s="59">
        <v>0</v>
      </c>
    </row>
    <row r="2683" spans="1:8" x14ac:dyDescent="0.25">
      <c r="A2683" s="2" t="s">
        <v>2003</v>
      </c>
      <c r="B2683" s="2" t="s">
        <v>2004</v>
      </c>
      <c r="C2683" s="3">
        <v>120358.47</v>
      </c>
      <c r="D2683" s="3">
        <v>26579.59</v>
      </c>
      <c r="E2683" s="3">
        <v>46409.68</v>
      </c>
      <c r="F2683" s="3">
        <v>230000</v>
      </c>
      <c r="G2683" s="59">
        <v>0</v>
      </c>
    </row>
    <row r="2684" spans="1:8" ht="15" customHeight="1" x14ac:dyDescent="0.25">
      <c r="A2684" s="2" t="s">
        <v>2005</v>
      </c>
      <c r="B2684" s="2" t="s">
        <v>697</v>
      </c>
      <c r="C2684" s="3">
        <v>3320</v>
      </c>
      <c r="D2684" s="3">
        <v>775.5</v>
      </c>
      <c r="E2684" s="3">
        <v>1121</v>
      </c>
      <c r="F2684" s="3">
        <v>2000</v>
      </c>
      <c r="G2684" s="59">
        <v>0</v>
      </c>
    </row>
    <row r="2685" spans="1:8" ht="15" customHeight="1" x14ac:dyDescent="0.25">
      <c r="A2685" s="2" t="s">
        <v>2006</v>
      </c>
      <c r="B2685" s="2" t="s">
        <v>2007</v>
      </c>
      <c r="C2685" s="3">
        <v>5074</v>
      </c>
      <c r="D2685" s="3">
        <v>1907</v>
      </c>
      <c r="E2685" s="3">
        <v>3524</v>
      </c>
      <c r="F2685" s="3">
        <v>3500</v>
      </c>
      <c r="G2685" s="59">
        <v>0</v>
      </c>
    </row>
    <row r="2686" spans="1:8" ht="15" customHeight="1" x14ac:dyDescent="0.25">
      <c r="A2686" s="2" t="s">
        <v>2008</v>
      </c>
      <c r="B2686" s="2" t="s">
        <v>2009</v>
      </c>
      <c r="C2686" s="3">
        <v>1841.75</v>
      </c>
      <c r="D2686" s="3">
        <v>333.5</v>
      </c>
      <c r="E2686" s="3">
        <v>1178.25</v>
      </c>
      <c r="F2686" s="3">
        <v>1200</v>
      </c>
      <c r="G2686" s="59">
        <v>0</v>
      </c>
    </row>
    <row r="2687" spans="1:8" ht="15" customHeight="1" x14ac:dyDescent="0.25">
      <c r="A2687" s="2" t="s">
        <v>2010</v>
      </c>
      <c r="B2687" s="2" t="s">
        <v>2011</v>
      </c>
      <c r="C2687" s="3">
        <v>-252</v>
      </c>
      <c r="D2687" s="3">
        <v>0</v>
      </c>
      <c r="E2687" s="3">
        <v>0</v>
      </c>
      <c r="F2687" s="3">
        <v>0</v>
      </c>
      <c r="G2687" s="59">
        <v>0</v>
      </c>
    </row>
    <row r="2688" spans="1:8" ht="15" customHeight="1" x14ac:dyDescent="0.25">
      <c r="A2688" s="2" t="s">
        <v>2012</v>
      </c>
      <c r="B2688" s="2" t="s">
        <v>2013</v>
      </c>
      <c r="C2688" s="3">
        <v>-66.25</v>
      </c>
      <c r="D2688" s="3">
        <v>0</v>
      </c>
      <c r="E2688" s="3">
        <v>0</v>
      </c>
      <c r="F2688" s="3">
        <v>0</v>
      </c>
      <c r="G2688" s="59">
        <v>0</v>
      </c>
    </row>
    <row r="2689" spans="1:8" ht="15" customHeight="1" x14ac:dyDescent="0.25">
      <c r="A2689" s="1" t="s">
        <v>705</v>
      </c>
      <c r="B2689" s="1" t="s">
        <v>2</v>
      </c>
      <c r="C2689" s="4">
        <v>132342.04999999999</v>
      </c>
      <c r="D2689" s="4">
        <v>30075.85</v>
      </c>
      <c r="E2689" s="4">
        <f>SUM(E2682:E2688)</f>
        <v>53153.73</v>
      </c>
      <c r="F2689" s="6">
        <f>SUM(F2682:F2688)</f>
        <v>240700</v>
      </c>
      <c r="G2689" s="6">
        <f>SUM(G2682:G2688)</f>
        <v>0</v>
      </c>
    </row>
    <row r="2690" spans="1:8" x14ac:dyDescent="0.25">
      <c r="A2690" s="1" t="s">
        <v>2</v>
      </c>
      <c r="B2690" s="1" t="s">
        <v>2</v>
      </c>
      <c r="C2690" s="1" t="s">
        <v>2</v>
      </c>
      <c r="D2690" s="1" t="s">
        <v>2</v>
      </c>
      <c r="E2690" s="1"/>
      <c r="F2690" s="1" t="s">
        <v>2</v>
      </c>
      <c r="G2690" s="1" t="s">
        <v>2</v>
      </c>
    </row>
    <row r="2691" spans="1:8" ht="15" customHeight="1" x14ac:dyDescent="0.25">
      <c r="A2691" s="1" t="s">
        <v>2014</v>
      </c>
      <c r="B2691" s="1" t="s">
        <v>2</v>
      </c>
      <c r="C2691" s="4">
        <v>132342.04999999999</v>
      </c>
      <c r="D2691" s="4">
        <v>30075.85</v>
      </c>
      <c r="E2691" s="4">
        <f>E2689</f>
        <v>53153.73</v>
      </c>
      <c r="F2691" s="6">
        <f>F2689</f>
        <v>240700</v>
      </c>
      <c r="G2691" s="6">
        <f>G2689</f>
        <v>0</v>
      </c>
    </row>
    <row r="2692" spans="1:8" ht="15" customHeight="1" x14ac:dyDescent="0.25">
      <c r="A2692" s="25" t="s">
        <v>3191</v>
      </c>
      <c r="B2692" s="25"/>
      <c r="C2692" s="33">
        <f>C2663+C2678-C2691</f>
        <v>179</v>
      </c>
      <c r="D2692" s="33">
        <f t="shared" ref="D2692:G2692" si="73">D2663+D2678-D2691</f>
        <v>7934.93</v>
      </c>
      <c r="E2692" s="33">
        <f t="shared" si="73"/>
        <v>7342.2099999999991</v>
      </c>
      <c r="F2692" s="33">
        <f t="shared" si="73"/>
        <v>179</v>
      </c>
      <c r="G2692" s="33">
        <f t="shared" si="73"/>
        <v>179</v>
      </c>
      <c r="H2692" s="25"/>
    </row>
    <row r="2693" spans="1:8" x14ac:dyDescent="0.25">
      <c r="A2693" s="1" t="s">
        <v>2</v>
      </c>
      <c r="B2693" s="1" t="s">
        <v>2</v>
      </c>
      <c r="C2693" s="1" t="s">
        <v>2</v>
      </c>
      <c r="D2693" s="1" t="s">
        <v>2</v>
      </c>
      <c r="E2693" s="1"/>
      <c r="F2693" s="1" t="s">
        <v>2</v>
      </c>
      <c r="G2693" s="6" t="str">
        <f>G2690</f>
        <v/>
      </c>
    </row>
    <row r="2694" spans="1:8" ht="15" customHeight="1" x14ac:dyDescent="0.25">
      <c r="A2694" s="27" t="s">
        <v>3192</v>
      </c>
      <c r="B2694" s="27"/>
      <c r="C2694" s="28">
        <v>11263.91</v>
      </c>
      <c r="D2694" s="28">
        <v>7965.59</v>
      </c>
      <c r="E2694" s="28">
        <v>7965.59</v>
      </c>
      <c r="F2694" s="28">
        <v>7965.59</v>
      </c>
      <c r="G2694" s="28">
        <f>F2702</f>
        <v>7965.5899999999965</v>
      </c>
      <c r="H2694" s="27"/>
    </row>
    <row r="2695" spans="1:8" x14ac:dyDescent="0.25">
      <c r="A2695" s="23" t="s">
        <v>2015</v>
      </c>
      <c r="B2695" s="23" t="s">
        <v>2</v>
      </c>
      <c r="C2695" s="29"/>
      <c r="D2695" s="29"/>
      <c r="E2695" s="29"/>
      <c r="F2695" s="29"/>
      <c r="G2695" s="29"/>
      <c r="H2695" s="29"/>
    </row>
    <row r="2696" spans="1:8" x14ac:dyDescent="0.25">
      <c r="A2696" s="30" t="s">
        <v>3193</v>
      </c>
      <c r="B2696" s="30" t="s">
        <v>3194</v>
      </c>
      <c r="C2696" s="31">
        <v>8953.64</v>
      </c>
      <c r="D2696" s="31">
        <v>736.8</v>
      </c>
      <c r="E2696" s="31">
        <v>396.38</v>
      </c>
      <c r="F2696" s="31">
        <v>50000</v>
      </c>
      <c r="G2696" s="31">
        <v>0</v>
      </c>
      <c r="H2696" s="29"/>
    </row>
    <row r="2697" spans="1:8" x14ac:dyDescent="0.25">
      <c r="A2697" s="23" t="s">
        <v>2018</v>
      </c>
      <c r="B2697" s="23" t="s">
        <v>2</v>
      </c>
      <c r="C2697" s="32">
        <v>8953.64</v>
      </c>
      <c r="D2697" s="32">
        <v>736.8</v>
      </c>
      <c r="E2697" s="32">
        <f>E2696</f>
        <v>396.38</v>
      </c>
      <c r="F2697" s="32">
        <f>SUM(F2696)</f>
        <v>50000</v>
      </c>
      <c r="G2697" s="32">
        <f>SUM(G2696)</f>
        <v>0</v>
      </c>
      <c r="H2697" s="29"/>
    </row>
    <row r="2698" spans="1:8" x14ac:dyDescent="0.25">
      <c r="A2698" s="1" t="s">
        <v>740</v>
      </c>
      <c r="B2698" s="1"/>
      <c r="C2698" s="4"/>
      <c r="D2698" s="4"/>
      <c r="E2698" s="4"/>
      <c r="F2698" s="6"/>
      <c r="G2698" s="6"/>
    </row>
    <row r="2699" spans="1:8" x14ac:dyDescent="0.25">
      <c r="A2699" s="1" t="s">
        <v>2015</v>
      </c>
      <c r="B2699" s="1" t="s">
        <v>2</v>
      </c>
      <c r="C2699" s="40"/>
      <c r="F2699" s="40"/>
    </row>
    <row r="2700" spans="1:8" ht="15" customHeight="1" x14ac:dyDescent="0.25">
      <c r="A2700" s="2" t="s">
        <v>2016</v>
      </c>
      <c r="B2700" s="2" t="s">
        <v>2017</v>
      </c>
      <c r="C2700" s="3">
        <v>12251.96</v>
      </c>
      <c r="D2700" s="3">
        <v>5327.96</v>
      </c>
      <c r="E2700" s="3">
        <v>5827.87</v>
      </c>
      <c r="F2700" s="3">
        <v>50000</v>
      </c>
      <c r="G2700" s="5">
        <v>0</v>
      </c>
    </row>
    <row r="2701" spans="1:8" ht="15" customHeight="1" x14ac:dyDescent="0.25">
      <c r="A2701" s="1" t="s">
        <v>2018</v>
      </c>
      <c r="B2701" s="1" t="s">
        <v>2</v>
      </c>
      <c r="C2701" s="4">
        <v>12251.96</v>
      </c>
      <c r="D2701" s="4">
        <v>5327.96</v>
      </c>
      <c r="E2701" s="4">
        <f>E2700</f>
        <v>5827.87</v>
      </c>
      <c r="F2701" s="4">
        <f>SUM(F2700)</f>
        <v>50000</v>
      </c>
      <c r="G2701" s="6">
        <f>SUM(G2700)</f>
        <v>0</v>
      </c>
    </row>
    <row r="2702" spans="1:8" ht="15" customHeight="1" x14ac:dyDescent="0.25">
      <c r="A2702" s="25" t="s">
        <v>3195</v>
      </c>
      <c r="B2702" s="25" t="s">
        <v>2</v>
      </c>
      <c r="C2702" s="33">
        <f>C2694+C2697-C2701</f>
        <v>7965.59</v>
      </c>
      <c r="D2702" s="33">
        <f t="shared" ref="D2702:G2702" si="74">D2694+D2697-D2701</f>
        <v>3374.4299999999994</v>
      </c>
      <c r="E2702" s="33">
        <f t="shared" si="74"/>
        <v>2534.0999999999995</v>
      </c>
      <c r="F2702" s="33">
        <f t="shared" si="74"/>
        <v>7965.5899999999965</v>
      </c>
      <c r="G2702" s="33">
        <f t="shared" si="74"/>
        <v>7965.5899999999965</v>
      </c>
      <c r="H2702" s="25"/>
    </row>
    <row r="2703" spans="1:8" x14ac:dyDescent="0.25">
      <c r="A2703" s="2" t="s">
        <v>2</v>
      </c>
      <c r="B2703" s="2" t="s">
        <v>2</v>
      </c>
      <c r="C2703" s="2" t="s">
        <v>2</v>
      </c>
      <c r="D2703" s="2" t="s">
        <v>2</v>
      </c>
      <c r="E2703" s="2"/>
      <c r="F2703" s="2" t="s">
        <v>2</v>
      </c>
      <c r="G2703" s="2" t="s">
        <v>2</v>
      </c>
    </row>
    <row r="2704" spans="1:8" x14ac:dyDescent="0.25">
      <c r="A2704" s="2"/>
      <c r="B2704" s="2"/>
      <c r="C2704" s="2"/>
      <c r="D2704" s="2"/>
      <c r="E2704" s="2"/>
      <c r="F2704" s="2"/>
      <c r="G2704" s="2"/>
    </row>
    <row r="2705" spans="1:8" x14ac:dyDescent="0.25">
      <c r="A2705" s="2"/>
      <c r="B2705" s="2"/>
      <c r="C2705" s="2"/>
      <c r="D2705" s="2"/>
      <c r="E2705" s="2"/>
      <c r="F2705" s="2"/>
      <c r="G2705" s="2"/>
    </row>
    <row r="2706" spans="1:8" ht="15" customHeight="1" x14ac:dyDescent="0.25">
      <c r="A2706" s="42"/>
      <c r="B2706" s="43" t="s">
        <v>3198</v>
      </c>
      <c r="C2706" s="44">
        <f>C792+C812+C833+C856+C899+C929+C1191+C1216+C1247+C1271+C1290+C1313+C1329+C1347+C1378+C1409+C1448+C1462+C1488+C1533+C1561+C1575+C1593+C1610+C1631+C1675+C1917+C2128+C2180+C2201+C2403+C2444+C2459+C2472+C2485+C2503+C2547+C2660+C2691+C2701</f>
        <v>44839848.600000001</v>
      </c>
      <c r="D2706" s="44">
        <f>D792+D812+D833+D856+D899+D929+D1191+D1216+D1247+D1271+D1290+D1313+D1329+D1347+D1378+D1409+D1448+D1462+D1488+D1533+D1561+D1575+D1593+D1610+D1631+D1675+D1917+D2128+D2180+D2201+D2403+D2444+D2459+D2472+D2485+D2503+D2547+D2660+D2691+D2701</f>
        <v>13820418.780000003</v>
      </c>
      <c r="E2706" s="44">
        <f>E792+E812+E833+E856+E899+E929+E1191+E1216+E1247+E1271+E1290+E1313+E1329+E1347+E1378+E1409+E1448+E1462+E1488+E1533+E1561+E1575+E1593+E1610+E1631+E1675+E1917+E2128+E2180+E2201+E2403+E2444+E2459+E2472+E2485+E2503+E2547+E2660+E2691+E2701</f>
        <v>26664771.380000003</v>
      </c>
      <c r="F2706" s="44">
        <f>F792+F812+F833+F856+F899+F929+F1191+F1216+F1247+F1271+F1290+F1313+F1329+F1347+F1378+F1409+F1448+F1462+F1488+F1533+F1561+F1575+F1593+F1610+F1631+F1675+F1917+F2128+F2180+F2201+F2403+F2444+F2459+F2472+F2485+F2503+F2547+F2660+F2691+F2701</f>
        <v>73093404.340000004</v>
      </c>
      <c r="G2706" s="44">
        <f>G792+G812+G833+G856+G899+G929+G1191+G1216+G1247+G1271+G1290+G1313+G1329+G1347+G1378+G1409+G1448+G1462+G1488+G1533+G1561+G1575+G1593+G1610+G1631+G1675+G1917+G2128+G2180+G2201+G2403+G2444+G2459+G2472+G2485+G2503+G2547+G2660+G2691+G2701</f>
        <v>47382321.550949998</v>
      </c>
      <c r="H2706" s="45"/>
    </row>
    <row r="2707" spans="1:8" x14ac:dyDescent="0.25">
      <c r="A2707" s="42"/>
      <c r="B2707" s="43" t="s">
        <v>3199</v>
      </c>
      <c r="C2707" s="46">
        <f>C304+C809+C830+C851+C884+C912+C1017+C1210+C1240+C1265+C1287+C1307+C1320+C1335+C1360+C1396+C1433+C1459+C1477+C1518+C1549+C1571+C1584+C1603+C1621+C1656+C1759+C1979+C2147+C2192+C2213+C2303+C2426+C2453+C2467+C2480+C2495+C2529+C2595+C2678+C2697</f>
        <v>59601885.990000002</v>
      </c>
      <c r="D2707" s="46">
        <f>D304+D809+D830+D851+D884+D912+D1017+D1210+D1240+D1265+D1287+D1307+D1320+D1335+D1360+D1396+D1433+D1459+D1477+D1518+D1549+D1571+D1584+D1603+D1621+D1656+D1759+D1979+D2147+D2192+D2213+D2303+D2426+D2453+D2467+D2480+D2495+D2529+D2595+D2678+D2697</f>
        <v>17637851.070000004</v>
      </c>
      <c r="E2707" s="46">
        <f>E304+E809+E830+E851+E884+E912+E1017+E1210+E1240+E1265+E1287+E1307+E1320+E1335+E1360+E1396+E1433+E1459+E1477+E1518+E1549+E1571+E1584+E1603+E1621+E1656+E1759+E1979+E2147+E2192+E2213+E2303+E2426+E2453+E2467+E2480+E2495+E2529+E2595+E2678+E2697</f>
        <v>36292210.07</v>
      </c>
      <c r="F2707" s="46">
        <f>F304+F809+F830+F851+F884+F912+F1017+F1210+F1240+F1265+F1287+F1307+F1320+F1335+F1360+F1396+F1433+F1459+F1477+F1518+F1549+F1571+F1584+F1603+F1621+F1656+F1759+F1979+F2147+F2192+F2213+F2303+F2426+F2453+F2467+F2480+F2495+F2529+F2595+F2678+F2697</f>
        <v>67891463.549999997</v>
      </c>
      <c r="G2707" s="46">
        <f>G304+G809+G830+G851+G884+G912+G1017+G1210+G1240+G1265+G1287+G1307+G1320+G1335+G1360+G1396+G1433+G1459+G1477+G1518+G1549+G1571+G1584+G1603+G1621+G1656+G1759+G1979+G2147+G2192+G2213+G2303+G2426+G2453+G2467+G2480+G2495+G2529+G2595+G2678+G2697</f>
        <v>36755817.899999999</v>
      </c>
      <c r="H2707" s="45"/>
    </row>
    <row r="2708" spans="1:8" x14ac:dyDescent="0.25">
      <c r="A2708" s="1" t="s">
        <v>2</v>
      </c>
      <c r="B2708" s="1" t="s">
        <v>2</v>
      </c>
      <c r="C2708" s="1" t="s">
        <v>2</v>
      </c>
      <c r="D2708" s="1" t="s">
        <v>2</v>
      </c>
      <c r="E2708" s="1"/>
      <c r="F2708" s="4"/>
      <c r="G2708" s="4"/>
    </row>
    <row r="2709" spans="1:8" x14ac:dyDescent="0.25">
      <c r="B2709" s="1" t="s">
        <v>3196</v>
      </c>
      <c r="C2709" s="4">
        <f>C6+C795+C815+C836+C859+C902+C932+C1194+C1219+C1250+C1274+C1293+C1316+C1332+C1350+C1381+C1412+C1451+C1465+C1491+C1536+C1564+C1578+C1596+C1613+C1634+C1678+C1920+C2131+C2183+C2204+C2226+C2406+C2447+C2462+C2475+C2488+C2506+C2550+C2663+C2694</f>
        <v>31766718.070000004</v>
      </c>
      <c r="D2709" s="4">
        <f>D6+D795+D815+D836+D859+D902+D932+D1194+D1219+D1250+D1274+D1293+D1316+D1332+D1350+D1381+D1412+D1451+D1465+D1491+D1536+D1564+D1578+D1596+D1613+D1634+D1678+D1920+D2131+D2183+D2204+D2226+D2406+D2447+D2462+D2475+D2488+D2506+D2550+D2663+D2694</f>
        <v>46528755.460000016</v>
      </c>
      <c r="E2709" s="4">
        <f>E6+E795+E815+E836+E859+E902+E932+E1194+E1219+E1250+E1274+E1293+E1316+E1332+E1350+E1381+E1412+E1451+E1465+E1491+E1536+E1564+E1578+E1596+E1613+E1634+E1678+E1920+E2131+E2183+E2204+E2226+E2406+E2447+E2462+E2475+E2488+E2506+E2550+E2663+E2694</f>
        <v>46528755.460000016</v>
      </c>
      <c r="F2709" s="4">
        <f>F6+F795+F815+F836+F859+F902+F932+F1194+F1219+F1250+F1274+F1293+F1316+F1332+F1350+F1381+F1412+F1451+F1465+F1491+F1536+F1564+F1578+F1596+F1613+F1634+F1678+F1920+F2131+F2183+F2204+F2226+F2406+F2447+F2462+F2475+F2488+F2506+F2550+F2663+F2694</f>
        <v>46528755.460000016</v>
      </c>
      <c r="G2709" s="4">
        <f>G6+G795+G815+G836+G859+G902+G932+G1194+G1219+G1250+G1274+G1293+G1316+G1332+G1350+G1381+G1412+G1451+G1465+G1491+G1536+G1564+G1578+G1596+G1613+G1634+G1678+G1920+G2131+G2183+G2204+G2226+G2406+G2447+G2462+G2475+G2488+G2506+G2550+G2663+G2694</f>
        <v>41326814.670000002</v>
      </c>
    </row>
    <row r="2710" spans="1:8" x14ac:dyDescent="0.25">
      <c r="B2710" s="1" t="s">
        <v>3197</v>
      </c>
      <c r="C2710" s="4" t="e">
        <f>C793+C813+C834+C857+C900+C930+C1192+C1217+C1248+C1272+C1291+C1314+C1330+C1348+C1379+C1410+C1449+C1463+C1489+C1534+C1562+C1576+C1594+C1611+C1632+C1676+C1918+C2129+C2181+C2202+#REF!+C2404+C2445+C2460+C2473+C2486+C2504+C2548+C2661+C2692+C2702</f>
        <v>#REF!</v>
      </c>
      <c r="D2710" s="4" t="e">
        <f>D793+D813+D834+D857+D900+D930+D1192+D1217+D1248+D1272+D1291+D1314+D1330+D1348+D1379+D1410+D1449+D1463+D1489+D1534+D1562+D1576+D1594+D1611+D1632+D1676+D1918+D2129+D2181+D2202+#REF!+D2404+D2445+D2460+D2473+D2486+D2504+D2548+D2661+D2692+D2702</f>
        <v>#REF!</v>
      </c>
      <c r="E2710" s="4" t="e">
        <f>E793+E813+E834+E857+E900+E930+E1192+E1217+E1248+E1272+E1291+E1314+E1330+E1348+E1379+E1410+E1449+E1463+E1489+E1534+E1562+E1576+E1594+E1611+E1632+E1676+E1918+E2129+E2181+E2202+#REF!+E2404+E2445+E2460+E2473+E2486+E2504+E2548+E2661+E2692+E2702</f>
        <v>#REF!</v>
      </c>
      <c r="F2710" s="4" t="e">
        <f>F793+F813+F834+F857+F900+F930+F1192+F1217+F1248+F1272+F1291+F1314+F1330+F1348+F1379+F1410+F1449+F1463+F1489+F1534+F1562+F1576+F1594+F1611+F1632+F1676+F1918+F2129+F2181+F2202+#REF!+F2404+F2445+F2460+F2473+F2486+F2504+F2548+F2661+F2692+F2702</f>
        <v>#REF!</v>
      </c>
      <c r="G2710" s="4" t="e">
        <f>G793+G813+G834+G857+G900+G930+G1192+G1217+G1248+G1272+G1291+G1314+G1330+G1348+G1379+G1410+G1449+G1463+G1489+G1534+G1562+G1576+G1594+G1611+G1632+G1676+G1918+G2129+G2181+G2202+#REF!+G2404+G2445+G2460+G2473+G2486+G2504+G2548+G2661+G2692+G2702</f>
        <v>#REF!</v>
      </c>
    </row>
    <row r="2711" spans="1:8" x14ac:dyDescent="0.25">
      <c r="B2711" s="1"/>
      <c r="C2711" s="4"/>
      <c r="D2711" s="4"/>
      <c r="E2711" s="4"/>
      <c r="F2711" s="4"/>
      <c r="G2711" s="4"/>
    </row>
    <row r="2712" spans="1:8" x14ac:dyDescent="0.25">
      <c r="B2712" s="1"/>
      <c r="C2712" s="4"/>
      <c r="D2712" s="4"/>
      <c r="E2712" s="4"/>
      <c r="F2712" s="4"/>
      <c r="G2712" s="4"/>
    </row>
    <row r="2713" spans="1:8" x14ac:dyDescent="0.25">
      <c r="D2713" s="41"/>
      <c r="E2713" s="41"/>
    </row>
    <row r="2714" spans="1:8" x14ac:dyDescent="0.25">
      <c r="C2714" s="41">
        <f>C2709+C2707-C2706</f>
        <v>46528755.460000001</v>
      </c>
      <c r="D2714" s="41">
        <f t="shared" ref="D2714:E2714" si="75">D2709+D2707-D2706</f>
        <v>50346187.750000015</v>
      </c>
      <c r="E2714" s="41">
        <f t="shared" si="75"/>
        <v>56156194.150000013</v>
      </c>
      <c r="F2714" s="41">
        <f t="shared" ref="F2714:G2714" si="76">F2709+F2707-F2706</f>
        <v>41326814.670000017</v>
      </c>
      <c r="G2714" s="41">
        <f t="shared" si="76"/>
        <v>30700311.019049995</v>
      </c>
    </row>
    <row r="2715" spans="1:8" x14ac:dyDescent="0.25">
      <c r="C2715" s="41" t="e">
        <f>C2714-C2710</f>
        <v>#REF!</v>
      </c>
      <c r="D2715" s="41" t="e">
        <f t="shared" ref="D2715:E2715" si="77">D2714-D2710</f>
        <v>#REF!</v>
      </c>
      <c r="E2715" s="41" t="e">
        <f t="shared" si="77"/>
        <v>#REF!</v>
      </c>
      <c r="F2715" s="41" t="e">
        <f t="shared" ref="F2715:G2715" si="78">F2714-F2710</f>
        <v>#REF!</v>
      </c>
      <c r="G2715" s="41" t="e">
        <f t="shared" si="78"/>
        <v>#REF!</v>
      </c>
    </row>
  </sheetData>
  <mergeCells count="1">
    <mergeCell ref="A2:H2"/>
  </mergeCells>
  <pageMargins left="0.5" right="0.5" top="0.5" bottom="0.9" header="0.5" footer="0.5"/>
  <pageSetup scale="78" orientation="landscape" horizontalDpi="300" verticalDpi="300" r:id="rId1"/>
  <headerFooter alignWithMargins="0">
    <oddFooter>&amp;L&amp;"Tahoma,Regular"&amp;8 Printed by CITYOFFERNDALE\\MalloriePowell on 6/10/2022 3:59:00 PM &amp;C&amp;"Tahoma,Regular"&amp;8 Ferndale - Estimated Expenditure &amp;R&amp;"Tahoma,Regular"&amp;8 Page 1 of 2</oddFooter>
  </headerFooter>
  <colBreaks count="1" manualBreakCount="1">
    <brk id="7" max="2702" man="1"/>
  </col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A00F1-5AE2-4191-B452-9082ABB16DEC}">
  <dimension ref="A1:I1366"/>
  <sheetViews>
    <sheetView showGridLines="0" zoomScaleNormal="100" workbookViewId="0">
      <selection activeCell="A1078" sqref="A1078:B1078"/>
    </sheetView>
  </sheetViews>
  <sheetFormatPr defaultRowHeight="15" x14ac:dyDescent="0.25"/>
  <cols>
    <col min="1" max="1" width="13.7109375" customWidth="1"/>
    <col min="2" max="2" width="11" customWidth="1"/>
    <col min="3" max="3" width="27.42578125" customWidth="1"/>
    <col min="4" max="7" width="14.42578125" customWidth="1"/>
    <col min="8" max="8" width="12" customWidth="1"/>
    <col min="9" max="9" width="1.7109375" customWidth="1"/>
  </cols>
  <sheetData>
    <row r="1" spans="1:9" ht="72" customHeight="1" x14ac:dyDescent="0.25">
      <c r="A1" s="335"/>
      <c r="B1" s="335"/>
      <c r="C1" s="335"/>
      <c r="D1" s="335"/>
      <c r="E1" s="335"/>
      <c r="F1" s="335"/>
      <c r="G1" s="335"/>
      <c r="H1" s="335"/>
      <c r="I1" s="335"/>
    </row>
    <row r="2" spans="1:9" ht="36" customHeight="1" x14ac:dyDescent="0.25">
      <c r="B2" s="336" t="s">
        <v>3294</v>
      </c>
      <c r="C2" s="335"/>
      <c r="D2" s="335"/>
      <c r="E2" s="335"/>
      <c r="F2" s="335"/>
      <c r="G2" s="335"/>
      <c r="H2" s="335"/>
    </row>
    <row r="3" spans="1:9" ht="9" customHeight="1" x14ac:dyDescent="0.25"/>
    <row r="4" spans="1:9" ht="10.9" customHeight="1" x14ac:dyDescent="0.25">
      <c r="B4" s="337" t="s">
        <v>3293</v>
      </c>
      <c r="C4" s="335"/>
      <c r="D4" s="335"/>
      <c r="E4" s="335"/>
      <c r="F4" s="335"/>
      <c r="G4" s="335"/>
      <c r="H4" s="335"/>
    </row>
    <row r="5" spans="1:9" ht="18" customHeight="1" x14ac:dyDescent="0.25"/>
    <row r="6" spans="1:9" x14ac:dyDescent="0.25">
      <c r="A6" s="338" t="s">
        <v>0</v>
      </c>
      <c r="B6" s="335"/>
      <c r="C6" s="52" t="s">
        <v>1</v>
      </c>
      <c r="D6" s="51" t="s">
        <v>3292</v>
      </c>
      <c r="E6" s="51" t="s">
        <v>3291</v>
      </c>
      <c r="F6" s="51" t="s">
        <v>3290</v>
      </c>
      <c r="G6" s="51" t="s">
        <v>3289</v>
      </c>
      <c r="H6" s="339"/>
      <c r="I6" s="335"/>
    </row>
    <row r="7" spans="1:9" x14ac:dyDescent="0.25">
      <c r="A7" s="340" t="s">
        <v>3</v>
      </c>
      <c r="B7" s="335"/>
      <c r="C7" s="1" t="s">
        <v>2</v>
      </c>
    </row>
    <row r="8" spans="1:9" x14ac:dyDescent="0.25">
      <c r="A8" s="341" t="s">
        <v>6</v>
      </c>
      <c r="B8" s="335"/>
      <c r="C8" s="2" t="s">
        <v>7</v>
      </c>
      <c r="D8" s="3">
        <v>1681.4</v>
      </c>
      <c r="E8" s="3">
        <v>1214.33</v>
      </c>
      <c r="F8" s="3">
        <v>1362.59</v>
      </c>
      <c r="G8" s="50">
        <v>601.75</v>
      </c>
      <c r="H8" s="342">
        <v>0</v>
      </c>
      <c r="I8" s="335"/>
    </row>
    <row r="9" spans="1:9" x14ac:dyDescent="0.25">
      <c r="A9" s="341" t="s">
        <v>8</v>
      </c>
      <c r="B9" s="335"/>
      <c r="C9" s="2" t="s">
        <v>9</v>
      </c>
      <c r="D9" s="3">
        <v>50744.85</v>
      </c>
      <c r="E9" s="3">
        <v>56233.39</v>
      </c>
      <c r="F9" s="3">
        <v>55555.91</v>
      </c>
      <c r="G9" s="50">
        <v>48709.599999999999</v>
      </c>
      <c r="H9" s="342">
        <v>0</v>
      </c>
      <c r="I9" s="335"/>
    </row>
    <row r="10" spans="1:9" x14ac:dyDescent="0.25">
      <c r="A10" s="341" t="s">
        <v>10</v>
      </c>
      <c r="B10" s="335"/>
      <c r="C10" s="2" t="s">
        <v>11</v>
      </c>
      <c r="D10" s="3">
        <v>3779.1</v>
      </c>
      <c r="E10" s="3">
        <v>4173.6099999999997</v>
      </c>
      <c r="F10" s="3">
        <v>4249.9399999999996</v>
      </c>
      <c r="G10" s="50">
        <v>3726.21</v>
      </c>
      <c r="H10" s="342">
        <v>0</v>
      </c>
      <c r="I10" s="335"/>
    </row>
    <row r="11" spans="1:9" x14ac:dyDescent="0.25">
      <c r="A11" s="341" t="s">
        <v>12</v>
      </c>
      <c r="B11" s="335"/>
      <c r="C11" s="2" t="s">
        <v>13</v>
      </c>
      <c r="D11" s="3">
        <v>66.290000000000006</v>
      </c>
      <c r="E11" s="3">
        <v>80.08</v>
      </c>
      <c r="F11" s="3">
        <v>81.59</v>
      </c>
      <c r="G11" s="50">
        <v>100.88</v>
      </c>
      <c r="H11" s="342">
        <v>0</v>
      </c>
      <c r="I11" s="335"/>
    </row>
    <row r="12" spans="1:9" ht="24" x14ac:dyDescent="0.25">
      <c r="A12" s="341" t="s">
        <v>14</v>
      </c>
      <c r="B12" s="335"/>
      <c r="C12" s="2" t="s">
        <v>15</v>
      </c>
      <c r="D12" s="3">
        <v>0</v>
      </c>
      <c r="E12" s="3">
        <v>6914.48</v>
      </c>
      <c r="F12" s="3">
        <v>6154.65</v>
      </c>
      <c r="G12" s="50">
        <v>6914.48</v>
      </c>
      <c r="H12" s="342">
        <v>0</v>
      </c>
      <c r="I12" s="335"/>
    </row>
    <row r="13" spans="1:9" x14ac:dyDescent="0.25">
      <c r="A13" s="341" t="s">
        <v>16</v>
      </c>
      <c r="B13" s="335"/>
      <c r="C13" s="2" t="s">
        <v>17</v>
      </c>
      <c r="D13" s="3">
        <v>138.72999999999999</v>
      </c>
      <c r="E13" s="3">
        <v>546.55999999999995</v>
      </c>
      <c r="F13" s="3">
        <v>0</v>
      </c>
      <c r="G13" s="50">
        <v>2289.79</v>
      </c>
      <c r="H13" s="342">
        <v>0</v>
      </c>
      <c r="I13" s="335"/>
    </row>
    <row r="14" spans="1:9" x14ac:dyDescent="0.25">
      <c r="A14" s="341" t="s">
        <v>18</v>
      </c>
      <c r="B14" s="335"/>
      <c r="C14" s="2" t="s">
        <v>19</v>
      </c>
      <c r="D14" s="3">
        <v>81.38</v>
      </c>
      <c r="E14" s="3">
        <v>174.15</v>
      </c>
      <c r="F14" s="3">
        <v>0</v>
      </c>
      <c r="G14" s="50">
        <v>0</v>
      </c>
      <c r="H14" s="342">
        <v>0</v>
      </c>
      <c r="I14" s="335"/>
    </row>
    <row r="15" spans="1:9" x14ac:dyDescent="0.25">
      <c r="A15" s="341" t="s">
        <v>20</v>
      </c>
      <c r="B15" s="335"/>
      <c r="C15" s="2" t="s">
        <v>21</v>
      </c>
      <c r="D15" s="3">
        <v>1616.21</v>
      </c>
      <c r="E15" s="3">
        <v>987.38</v>
      </c>
      <c r="F15" s="3">
        <v>908.32</v>
      </c>
      <c r="G15" s="50">
        <v>1101</v>
      </c>
      <c r="H15" s="342">
        <v>0</v>
      </c>
      <c r="I15" s="335"/>
    </row>
    <row r="16" spans="1:9" x14ac:dyDescent="0.25">
      <c r="A16" s="340" t="s">
        <v>3242</v>
      </c>
      <c r="B16" s="335"/>
      <c r="C16" s="1" t="s">
        <v>2</v>
      </c>
    </row>
    <row r="17" spans="1:9" x14ac:dyDescent="0.25">
      <c r="A17" s="341" t="s">
        <v>24</v>
      </c>
      <c r="B17" s="335"/>
      <c r="C17" s="2" t="s">
        <v>25</v>
      </c>
      <c r="D17" s="3">
        <v>3000.25</v>
      </c>
      <c r="E17" s="3">
        <v>0</v>
      </c>
      <c r="F17" s="3">
        <v>0</v>
      </c>
      <c r="G17" s="50">
        <v>0</v>
      </c>
      <c r="H17" s="342">
        <v>0</v>
      </c>
      <c r="I17" s="335"/>
    </row>
    <row r="18" spans="1:9" x14ac:dyDescent="0.25">
      <c r="A18" s="341" t="s">
        <v>26</v>
      </c>
      <c r="B18" s="335"/>
      <c r="C18" s="2" t="s">
        <v>27</v>
      </c>
      <c r="D18" s="3">
        <v>118011.33</v>
      </c>
      <c r="E18" s="3">
        <v>130386.06</v>
      </c>
      <c r="F18" s="3">
        <v>137143.41</v>
      </c>
      <c r="G18" s="50">
        <v>125365.26</v>
      </c>
      <c r="H18" s="342">
        <v>0</v>
      </c>
      <c r="I18" s="335"/>
    </row>
    <row r="19" spans="1:9" x14ac:dyDescent="0.25">
      <c r="A19" s="340" t="s">
        <v>3241</v>
      </c>
      <c r="B19" s="335"/>
      <c r="C19" s="1" t="s">
        <v>2</v>
      </c>
      <c r="D19" s="4">
        <v>121011.58</v>
      </c>
      <c r="E19" s="4">
        <v>130386.06</v>
      </c>
      <c r="F19" s="4">
        <v>137143.41</v>
      </c>
      <c r="G19" s="4">
        <v>125365.26</v>
      </c>
      <c r="H19" s="343">
        <v>0</v>
      </c>
      <c r="I19" s="335"/>
    </row>
    <row r="20" spans="1:9" x14ac:dyDescent="0.25">
      <c r="A20" s="340" t="s">
        <v>2</v>
      </c>
      <c r="B20" s="335"/>
      <c r="C20" s="1" t="s">
        <v>2</v>
      </c>
      <c r="D20" s="1" t="s">
        <v>2</v>
      </c>
      <c r="E20" s="1" t="s">
        <v>2</v>
      </c>
      <c r="F20" s="1" t="s">
        <v>2</v>
      </c>
      <c r="G20" s="1" t="s">
        <v>2</v>
      </c>
      <c r="H20" s="340" t="s">
        <v>2</v>
      </c>
      <c r="I20" s="335"/>
    </row>
    <row r="21" spans="1:9" x14ac:dyDescent="0.25">
      <c r="A21" s="341" t="s">
        <v>28</v>
      </c>
      <c r="B21" s="335"/>
      <c r="C21" s="2" t="s">
        <v>29</v>
      </c>
      <c r="D21" s="3">
        <v>20963.89</v>
      </c>
      <c r="E21" s="3">
        <v>22146.25</v>
      </c>
      <c r="F21" s="3">
        <v>23814.3</v>
      </c>
      <c r="G21" s="50">
        <v>19982.080000000002</v>
      </c>
      <c r="H21" s="342">
        <v>0</v>
      </c>
      <c r="I21" s="335"/>
    </row>
    <row r="22" spans="1:9" x14ac:dyDescent="0.25">
      <c r="A22" s="341" t="s">
        <v>30</v>
      </c>
      <c r="B22" s="335"/>
      <c r="C22" s="2" t="s">
        <v>31</v>
      </c>
      <c r="D22" s="3">
        <v>533.16</v>
      </c>
      <c r="E22" s="3">
        <v>508.41</v>
      </c>
      <c r="F22" s="3">
        <v>514.64</v>
      </c>
      <c r="G22" s="50">
        <v>403.73</v>
      </c>
      <c r="H22" s="342">
        <v>0</v>
      </c>
      <c r="I22" s="335"/>
    </row>
    <row r="23" spans="1:9" x14ac:dyDescent="0.25">
      <c r="A23" s="341" t="s">
        <v>32</v>
      </c>
      <c r="B23" s="335"/>
      <c r="C23" s="2" t="s">
        <v>33</v>
      </c>
      <c r="D23" s="3">
        <v>16246.77</v>
      </c>
      <c r="E23" s="3">
        <v>18554.080000000002</v>
      </c>
      <c r="F23" s="3">
        <v>17954.310000000001</v>
      </c>
      <c r="G23" s="50">
        <v>13893.7</v>
      </c>
      <c r="H23" s="342">
        <v>0</v>
      </c>
      <c r="I23" s="335"/>
    </row>
    <row r="24" spans="1:9" x14ac:dyDescent="0.25">
      <c r="A24" s="341" t="s">
        <v>34</v>
      </c>
      <c r="B24" s="335"/>
      <c r="C24" s="2" t="s">
        <v>11</v>
      </c>
      <c r="D24" s="3">
        <v>9131.56</v>
      </c>
      <c r="E24" s="3">
        <v>9843.36</v>
      </c>
      <c r="F24" s="3">
        <v>10353.52</v>
      </c>
      <c r="G24" s="50">
        <v>9476.7199999999993</v>
      </c>
      <c r="H24" s="342">
        <v>0</v>
      </c>
      <c r="I24" s="335"/>
    </row>
    <row r="25" spans="1:9" x14ac:dyDescent="0.25">
      <c r="A25" s="341" t="s">
        <v>3288</v>
      </c>
      <c r="B25" s="335"/>
      <c r="C25" s="2" t="s">
        <v>3287</v>
      </c>
      <c r="D25" s="3">
        <v>0</v>
      </c>
      <c r="E25" s="3">
        <v>0</v>
      </c>
      <c r="F25" s="3">
        <v>0</v>
      </c>
      <c r="G25" s="50">
        <v>0</v>
      </c>
      <c r="H25" s="342">
        <v>0</v>
      </c>
      <c r="I25" s="335"/>
    </row>
    <row r="26" spans="1:9" x14ac:dyDescent="0.25">
      <c r="A26" s="341" t="s">
        <v>35</v>
      </c>
      <c r="B26" s="335"/>
      <c r="C26" s="2" t="s">
        <v>13</v>
      </c>
      <c r="D26" s="3">
        <v>166.19</v>
      </c>
      <c r="E26" s="3">
        <v>191.3</v>
      </c>
      <c r="F26" s="3">
        <v>201.06</v>
      </c>
      <c r="G26" s="50">
        <v>267.27999999999997</v>
      </c>
      <c r="H26" s="342">
        <v>0</v>
      </c>
      <c r="I26" s="335"/>
    </row>
    <row r="27" spans="1:9" x14ac:dyDescent="0.25">
      <c r="A27" s="341" t="s">
        <v>36</v>
      </c>
      <c r="B27" s="335"/>
      <c r="C27" s="2" t="s">
        <v>37</v>
      </c>
      <c r="D27" s="3">
        <v>3982.1</v>
      </c>
      <c r="E27" s="3">
        <v>3318.45</v>
      </c>
      <c r="F27" s="3">
        <v>3039.06</v>
      </c>
      <c r="G27" s="50">
        <v>1277.6600000000001</v>
      </c>
      <c r="H27" s="342">
        <v>0</v>
      </c>
      <c r="I27" s="335"/>
    </row>
    <row r="28" spans="1:9" x14ac:dyDescent="0.25">
      <c r="A28" s="341" t="s">
        <v>38</v>
      </c>
      <c r="B28" s="335"/>
      <c r="C28" s="2" t="s">
        <v>39</v>
      </c>
      <c r="D28" s="3">
        <v>0</v>
      </c>
      <c r="E28" s="3">
        <v>1655.78</v>
      </c>
      <c r="F28" s="3">
        <v>42.4</v>
      </c>
      <c r="G28" s="50">
        <v>198.96</v>
      </c>
      <c r="H28" s="342">
        <v>0</v>
      </c>
      <c r="I28" s="335"/>
    </row>
    <row r="29" spans="1:9" ht="24" x14ac:dyDescent="0.25">
      <c r="A29" s="341" t="s">
        <v>40</v>
      </c>
      <c r="B29" s="335"/>
      <c r="C29" s="2" t="s">
        <v>41</v>
      </c>
      <c r="D29" s="3">
        <v>6080.66</v>
      </c>
      <c r="E29" s="3">
        <v>6459.61</v>
      </c>
      <c r="F29" s="3">
        <v>7206.84</v>
      </c>
      <c r="G29" s="50">
        <v>6459.61</v>
      </c>
      <c r="H29" s="342">
        <v>0</v>
      </c>
      <c r="I29" s="335"/>
    </row>
    <row r="30" spans="1:9" x14ac:dyDescent="0.25">
      <c r="A30" s="341" t="s">
        <v>42</v>
      </c>
      <c r="B30" s="335"/>
      <c r="C30" s="2" t="s">
        <v>43</v>
      </c>
      <c r="D30" s="3">
        <v>0</v>
      </c>
      <c r="E30" s="3">
        <v>3901.26</v>
      </c>
      <c r="F30" s="3">
        <v>4490.8500000000004</v>
      </c>
      <c r="G30" s="50">
        <v>3901.26</v>
      </c>
      <c r="H30" s="342">
        <v>0</v>
      </c>
      <c r="I30" s="335"/>
    </row>
    <row r="31" spans="1:9" x14ac:dyDescent="0.25">
      <c r="A31" s="341" t="s">
        <v>44</v>
      </c>
      <c r="B31" s="335"/>
      <c r="C31" s="2" t="s">
        <v>45</v>
      </c>
      <c r="D31" s="3">
        <v>126035</v>
      </c>
      <c r="E31" s="3">
        <v>145250</v>
      </c>
      <c r="F31" s="3">
        <v>147204</v>
      </c>
      <c r="G31" s="50">
        <v>110052</v>
      </c>
      <c r="H31" s="342">
        <v>0</v>
      </c>
      <c r="I31" s="335"/>
    </row>
    <row r="32" spans="1:9" x14ac:dyDescent="0.25">
      <c r="A32" s="341" t="s">
        <v>46</v>
      </c>
      <c r="B32" s="335"/>
      <c r="C32" s="2" t="s">
        <v>47</v>
      </c>
      <c r="D32" s="3">
        <v>102289</v>
      </c>
      <c r="E32" s="3">
        <v>95895</v>
      </c>
      <c r="F32" s="3">
        <v>99480</v>
      </c>
      <c r="G32" s="50">
        <v>70440</v>
      </c>
      <c r="H32" s="342">
        <v>0</v>
      </c>
      <c r="I32" s="335"/>
    </row>
    <row r="33" spans="1:9" x14ac:dyDescent="0.25">
      <c r="A33" s="341" t="s">
        <v>48</v>
      </c>
      <c r="B33" s="335"/>
      <c r="C33" s="2" t="s">
        <v>49</v>
      </c>
      <c r="D33" s="3">
        <v>1552.75</v>
      </c>
      <c r="E33" s="3">
        <v>9283.9500000000007</v>
      </c>
      <c r="F33" s="3">
        <v>16161.82</v>
      </c>
      <c r="G33" s="50">
        <v>7546.05</v>
      </c>
      <c r="H33" s="342">
        <v>0</v>
      </c>
      <c r="I33" s="335"/>
    </row>
    <row r="34" spans="1:9" x14ac:dyDescent="0.25">
      <c r="A34" s="341" t="s">
        <v>50</v>
      </c>
      <c r="B34" s="335"/>
      <c r="C34" s="2" t="s">
        <v>51</v>
      </c>
      <c r="D34" s="3">
        <v>3950</v>
      </c>
      <c r="E34" s="3">
        <v>5228.59</v>
      </c>
      <c r="F34" s="3">
        <v>9993.7999999999993</v>
      </c>
      <c r="G34" s="50">
        <v>8326.25</v>
      </c>
      <c r="H34" s="342">
        <v>0</v>
      </c>
      <c r="I34" s="335"/>
    </row>
    <row r="35" spans="1:9" x14ac:dyDescent="0.25">
      <c r="A35" s="341" t="s">
        <v>52</v>
      </c>
      <c r="B35" s="335"/>
      <c r="C35" s="2" t="s">
        <v>53</v>
      </c>
      <c r="D35" s="3">
        <v>3589.15</v>
      </c>
      <c r="E35" s="3">
        <v>2733.1</v>
      </c>
      <c r="F35" s="3">
        <v>3132.02</v>
      </c>
      <c r="G35" s="50">
        <v>1980.1</v>
      </c>
      <c r="H35" s="342">
        <v>0</v>
      </c>
      <c r="I35" s="335"/>
    </row>
    <row r="36" spans="1:9" x14ac:dyDescent="0.25">
      <c r="A36" s="341" t="s">
        <v>54</v>
      </c>
      <c r="B36" s="335"/>
      <c r="C36" s="2" t="s">
        <v>55</v>
      </c>
      <c r="D36" s="3">
        <v>26785.19</v>
      </c>
      <c r="E36" s="3">
        <v>29703.5</v>
      </c>
      <c r="F36" s="3">
        <v>26566.75</v>
      </c>
      <c r="G36" s="50">
        <v>19143.7</v>
      </c>
      <c r="H36" s="342">
        <v>0</v>
      </c>
      <c r="I36" s="335"/>
    </row>
    <row r="37" spans="1:9" x14ac:dyDescent="0.25">
      <c r="A37" s="341" t="s">
        <v>56</v>
      </c>
      <c r="B37" s="335"/>
      <c r="C37" s="2" t="s">
        <v>57</v>
      </c>
      <c r="D37" s="3">
        <v>0</v>
      </c>
      <c r="E37" s="3">
        <v>247.82</v>
      </c>
      <c r="F37" s="3">
        <v>635.45000000000005</v>
      </c>
      <c r="G37" s="50">
        <v>424.17</v>
      </c>
      <c r="H37" s="342">
        <v>0</v>
      </c>
      <c r="I37" s="335"/>
    </row>
    <row r="38" spans="1:9" x14ac:dyDescent="0.25">
      <c r="A38" s="341" t="s">
        <v>58</v>
      </c>
      <c r="B38" s="335"/>
      <c r="C38" s="2" t="s">
        <v>59</v>
      </c>
      <c r="D38" s="3">
        <v>2233.6799999999998</v>
      </c>
      <c r="E38" s="3">
        <v>1303.57</v>
      </c>
      <c r="F38" s="3">
        <v>2092.85</v>
      </c>
      <c r="G38" s="50">
        <v>1576.24</v>
      </c>
      <c r="H38" s="342">
        <v>0</v>
      </c>
      <c r="I38" s="335"/>
    </row>
    <row r="39" spans="1:9" x14ac:dyDescent="0.25">
      <c r="A39" s="341" t="s">
        <v>60</v>
      </c>
      <c r="B39" s="335"/>
      <c r="C39" s="2" t="s">
        <v>17</v>
      </c>
      <c r="D39" s="3">
        <v>1534.09</v>
      </c>
      <c r="E39" s="3">
        <v>12.54</v>
      </c>
      <c r="F39" s="3">
        <v>0</v>
      </c>
      <c r="G39" s="50">
        <v>0</v>
      </c>
      <c r="H39" s="342">
        <v>0</v>
      </c>
      <c r="I39" s="335"/>
    </row>
    <row r="40" spans="1:9" x14ac:dyDescent="0.25">
      <c r="A40" s="341" t="s">
        <v>61</v>
      </c>
      <c r="B40" s="335"/>
      <c r="C40" s="2" t="s">
        <v>62</v>
      </c>
      <c r="D40" s="3">
        <v>2455.96</v>
      </c>
      <c r="E40" s="3">
        <v>4099.13</v>
      </c>
      <c r="F40" s="3">
        <v>3295.27</v>
      </c>
      <c r="G40" s="50">
        <v>2378.69</v>
      </c>
      <c r="H40" s="342">
        <v>0</v>
      </c>
      <c r="I40" s="335"/>
    </row>
    <row r="41" spans="1:9" x14ac:dyDescent="0.25">
      <c r="A41" s="341" t="s">
        <v>63</v>
      </c>
      <c r="B41" s="335"/>
      <c r="C41" s="2" t="s">
        <v>64</v>
      </c>
      <c r="D41" s="3">
        <v>2381.44</v>
      </c>
      <c r="E41" s="3">
        <v>536.80999999999995</v>
      </c>
      <c r="F41" s="3">
        <v>4359.79</v>
      </c>
      <c r="G41" s="50">
        <v>1598.94</v>
      </c>
      <c r="H41" s="342">
        <v>0</v>
      </c>
      <c r="I41" s="335"/>
    </row>
    <row r="42" spans="1:9" x14ac:dyDescent="0.25">
      <c r="A42" s="341" t="s">
        <v>65</v>
      </c>
      <c r="B42" s="335"/>
      <c r="C42" s="2" t="s">
        <v>66</v>
      </c>
      <c r="D42" s="3">
        <v>1385.43</v>
      </c>
      <c r="E42" s="3">
        <v>1540</v>
      </c>
      <c r="F42" s="3">
        <v>0</v>
      </c>
      <c r="G42" s="50">
        <v>0</v>
      </c>
      <c r="H42" s="342">
        <v>0</v>
      </c>
      <c r="I42" s="335"/>
    </row>
    <row r="43" spans="1:9" ht="24" x14ac:dyDescent="0.25">
      <c r="A43" s="341" t="s">
        <v>67</v>
      </c>
      <c r="B43" s="335"/>
      <c r="C43" s="2" t="s">
        <v>68</v>
      </c>
      <c r="D43" s="3">
        <v>742.15</v>
      </c>
      <c r="E43" s="3">
        <v>288.3</v>
      </c>
      <c r="F43" s="3">
        <v>259.5</v>
      </c>
      <c r="G43" s="50">
        <v>310.72000000000003</v>
      </c>
      <c r="H43" s="342">
        <v>0</v>
      </c>
      <c r="I43" s="335"/>
    </row>
    <row r="44" spans="1:9" x14ac:dyDescent="0.25">
      <c r="A44" s="341" t="s">
        <v>69</v>
      </c>
      <c r="B44" s="335"/>
      <c r="C44" s="2" t="s">
        <v>70</v>
      </c>
      <c r="D44" s="3">
        <v>400</v>
      </c>
      <c r="E44" s="3">
        <v>400</v>
      </c>
      <c r="F44" s="3">
        <v>325</v>
      </c>
      <c r="G44" s="50">
        <v>400</v>
      </c>
      <c r="H44" s="342">
        <v>0</v>
      </c>
      <c r="I44" s="335"/>
    </row>
    <row r="45" spans="1:9" x14ac:dyDescent="0.25">
      <c r="A45" s="341" t="s">
        <v>71</v>
      </c>
      <c r="B45" s="335"/>
      <c r="C45" s="2" t="s">
        <v>72</v>
      </c>
      <c r="D45" s="3">
        <v>513.05999999999995</v>
      </c>
      <c r="E45" s="3">
        <v>567.41</v>
      </c>
      <c r="F45" s="3">
        <v>627.78</v>
      </c>
      <c r="G45" s="50">
        <v>34.82</v>
      </c>
      <c r="H45" s="342">
        <v>0</v>
      </c>
      <c r="I45" s="335"/>
    </row>
    <row r="46" spans="1:9" x14ac:dyDescent="0.25">
      <c r="A46" s="340" t="s">
        <v>3286</v>
      </c>
      <c r="B46" s="335"/>
      <c r="C46" s="1" t="s">
        <v>2</v>
      </c>
    </row>
    <row r="47" spans="1:9" x14ac:dyDescent="0.25">
      <c r="A47" s="341" t="s">
        <v>75</v>
      </c>
      <c r="B47" s="335"/>
      <c r="C47" s="2" t="s">
        <v>76</v>
      </c>
      <c r="D47" s="3">
        <v>170393.1</v>
      </c>
      <c r="E47" s="3">
        <v>136944.28</v>
      </c>
      <c r="F47" s="3">
        <v>144128.06</v>
      </c>
      <c r="G47" s="50">
        <v>115014.25</v>
      </c>
      <c r="H47" s="342">
        <v>0</v>
      </c>
      <c r="I47" s="335"/>
    </row>
    <row r="48" spans="1:9" x14ac:dyDescent="0.25">
      <c r="A48" s="341" t="s">
        <v>77</v>
      </c>
      <c r="B48" s="335"/>
      <c r="C48" s="2" t="s">
        <v>78</v>
      </c>
      <c r="D48" s="3">
        <v>21346</v>
      </c>
      <c r="E48" s="3">
        <v>21981.5</v>
      </c>
      <c r="F48" s="3">
        <v>29109</v>
      </c>
      <c r="G48" s="50">
        <v>25895</v>
      </c>
      <c r="H48" s="342">
        <v>0</v>
      </c>
      <c r="I48" s="335"/>
    </row>
    <row r="49" spans="1:9" x14ac:dyDescent="0.25">
      <c r="A49" s="340" t="s">
        <v>3285</v>
      </c>
      <c r="B49" s="335"/>
      <c r="C49" s="1" t="s">
        <v>2</v>
      </c>
      <c r="D49" s="4">
        <v>191739.1</v>
      </c>
      <c r="E49" s="4">
        <v>158925.78</v>
      </c>
      <c r="F49" s="4">
        <v>173237.06</v>
      </c>
      <c r="G49" s="4">
        <v>140909.25</v>
      </c>
      <c r="H49" s="343">
        <v>0</v>
      </c>
      <c r="I49" s="335"/>
    </row>
    <row r="50" spans="1:9" x14ac:dyDescent="0.25">
      <c r="A50" s="340" t="s">
        <v>2</v>
      </c>
      <c r="B50" s="335"/>
      <c r="C50" s="1" t="s">
        <v>2</v>
      </c>
      <c r="D50" s="1" t="s">
        <v>2</v>
      </c>
      <c r="E50" s="1" t="s">
        <v>2</v>
      </c>
      <c r="F50" s="1" t="s">
        <v>2</v>
      </c>
      <c r="G50" s="1" t="s">
        <v>2</v>
      </c>
      <c r="H50" s="340" t="s">
        <v>2</v>
      </c>
      <c r="I50" s="335"/>
    </row>
    <row r="51" spans="1:9" x14ac:dyDescent="0.25">
      <c r="A51" s="341" t="s">
        <v>79</v>
      </c>
      <c r="B51" s="335"/>
      <c r="C51" s="2" t="s">
        <v>29</v>
      </c>
      <c r="D51" s="3">
        <v>26966.71</v>
      </c>
      <c r="E51" s="3">
        <v>27569.42</v>
      </c>
      <c r="F51" s="3">
        <v>28576.01</v>
      </c>
      <c r="G51" s="50">
        <v>23786.23</v>
      </c>
      <c r="H51" s="342">
        <v>0</v>
      </c>
      <c r="I51" s="335"/>
    </row>
    <row r="52" spans="1:9" x14ac:dyDescent="0.25">
      <c r="A52" s="341" t="s">
        <v>80</v>
      </c>
      <c r="B52" s="335"/>
      <c r="C52" s="2" t="s">
        <v>81</v>
      </c>
      <c r="D52" s="3">
        <v>268.77</v>
      </c>
      <c r="E52" s="3">
        <v>243.12</v>
      </c>
      <c r="F52" s="3">
        <v>256.43</v>
      </c>
      <c r="G52" s="50">
        <v>184.81</v>
      </c>
      <c r="H52" s="342">
        <v>0</v>
      </c>
      <c r="I52" s="335"/>
    </row>
    <row r="53" spans="1:9" x14ac:dyDescent="0.25">
      <c r="A53" s="341" t="s">
        <v>82</v>
      </c>
      <c r="B53" s="335"/>
      <c r="C53" s="2" t="s">
        <v>11</v>
      </c>
      <c r="D53" s="3">
        <v>14569.49</v>
      </c>
      <c r="E53" s="3">
        <v>11888.19</v>
      </c>
      <c r="F53" s="3">
        <v>13488.9</v>
      </c>
      <c r="G53" s="50">
        <v>10692.81</v>
      </c>
      <c r="H53" s="342">
        <v>0</v>
      </c>
      <c r="I53" s="335"/>
    </row>
    <row r="54" spans="1:9" x14ac:dyDescent="0.25">
      <c r="A54" s="341" t="s">
        <v>83</v>
      </c>
      <c r="B54" s="335"/>
      <c r="C54" s="2" t="s">
        <v>33</v>
      </c>
      <c r="D54" s="3">
        <v>20268.25</v>
      </c>
      <c r="E54" s="3">
        <v>20921.259999999998</v>
      </c>
      <c r="F54" s="3">
        <v>19911.939999999999</v>
      </c>
      <c r="G54" s="50">
        <v>14655.95</v>
      </c>
      <c r="H54" s="342">
        <v>0</v>
      </c>
      <c r="I54" s="335"/>
    </row>
    <row r="55" spans="1:9" x14ac:dyDescent="0.25">
      <c r="A55" s="341" t="s">
        <v>84</v>
      </c>
      <c r="B55" s="335"/>
      <c r="C55" s="2" t="s">
        <v>85</v>
      </c>
      <c r="D55" s="3">
        <v>0</v>
      </c>
      <c r="E55" s="3">
        <v>0</v>
      </c>
      <c r="F55" s="3">
        <v>0</v>
      </c>
      <c r="G55" s="50">
        <v>0</v>
      </c>
      <c r="H55" s="342">
        <v>0</v>
      </c>
      <c r="I55" s="335"/>
    </row>
    <row r="56" spans="1:9" ht="36" x14ac:dyDescent="0.25">
      <c r="A56" s="341" t="s">
        <v>3284</v>
      </c>
      <c r="B56" s="335"/>
      <c r="C56" s="2" t="s">
        <v>3283</v>
      </c>
      <c r="D56" s="3">
        <v>-81.92</v>
      </c>
      <c r="E56" s="3">
        <v>0</v>
      </c>
      <c r="F56" s="3">
        <v>0</v>
      </c>
      <c r="G56" s="50">
        <v>0</v>
      </c>
      <c r="H56" s="342">
        <v>0</v>
      </c>
      <c r="I56" s="335"/>
    </row>
    <row r="57" spans="1:9" x14ac:dyDescent="0.25">
      <c r="A57" s="341" t="s">
        <v>86</v>
      </c>
      <c r="B57" s="335"/>
      <c r="C57" s="2" t="s">
        <v>13</v>
      </c>
      <c r="D57" s="3">
        <v>267.88</v>
      </c>
      <c r="E57" s="3">
        <v>236.66</v>
      </c>
      <c r="F57" s="3">
        <v>252.08</v>
      </c>
      <c r="G57" s="50">
        <v>300.29000000000002</v>
      </c>
      <c r="H57" s="342">
        <v>0</v>
      </c>
      <c r="I57" s="335"/>
    </row>
    <row r="58" spans="1:9" x14ac:dyDescent="0.25">
      <c r="A58" s="341" t="s">
        <v>87</v>
      </c>
      <c r="B58" s="335"/>
      <c r="C58" s="2" t="s">
        <v>88</v>
      </c>
      <c r="D58" s="3">
        <v>618.41</v>
      </c>
      <c r="E58" s="3">
        <v>20.58</v>
      </c>
      <c r="F58" s="3">
        <v>61.61</v>
      </c>
      <c r="G58" s="50">
        <v>95.55</v>
      </c>
      <c r="H58" s="342">
        <v>0</v>
      </c>
      <c r="I58" s="335"/>
    </row>
    <row r="59" spans="1:9" x14ac:dyDescent="0.25">
      <c r="A59" s="341" t="s">
        <v>89</v>
      </c>
      <c r="B59" s="335"/>
      <c r="C59" s="2" t="s">
        <v>90</v>
      </c>
      <c r="D59" s="3">
        <v>0</v>
      </c>
      <c r="E59" s="3">
        <v>48.9</v>
      </c>
      <c r="F59" s="3">
        <v>0</v>
      </c>
      <c r="G59" s="50">
        <v>0</v>
      </c>
      <c r="H59" s="342">
        <v>0</v>
      </c>
      <c r="I59" s="335"/>
    </row>
    <row r="60" spans="1:9" x14ac:dyDescent="0.25">
      <c r="A60" s="341" t="s">
        <v>91</v>
      </c>
      <c r="B60" s="335"/>
      <c r="C60" s="2" t="s">
        <v>92</v>
      </c>
      <c r="D60" s="3">
        <v>1466.55</v>
      </c>
      <c r="E60" s="3">
        <v>41.43</v>
      </c>
      <c r="F60" s="3">
        <v>0</v>
      </c>
      <c r="G60" s="50">
        <v>41.43</v>
      </c>
      <c r="H60" s="342">
        <v>0</v>
      </c>
      <c r="I60" s="335"/>
    </row>
    <row r="61" spans="1:9" ht="24" x14ac:dyDescent="0.25">
      <c r="A61" s="341" t="s">
        <v>93</v>
      </c>
      <c r="B61" s="335"/>
      <c r="C61" s="2" t="s">
        <v>41</v>
      </c>
      <c r="D61" s="3">
        <v>7641.63</v>
      </c>
      <c r="E61" s="3">
        <v>6344.84</v>
      </c>
      <c r="F61" s="3">
        <v>3163.74</v>
      </c>
      <c r="G61" s="50">
        <v>6344.84</v>
      </c>
      <c r="H61" s="342">
        <v>0</v>
      </c>
      <c r="I61" s="335"/>
    </row>
    <row r="62" spans="1:9" x14ac:dyDescent="0.25">
      <c r="A62" s="341" t="s">
        <v>94</v>
      </c>
      <c r="B62" s="335"/>
      <c r="C62" s="2" t="s">
        <v>95</v>
      </c>
      <c r="D62" s="3">
        <v>0</v>
      </c>
      <c r="E62" s="3">
        <v>500</v>
      </c>
      <c r="F62" s="3">
        <v>5614.96</v>
      </c>
      <c r="G62" s="50">
        <v>15963.05</v>
      </c>
      <c r="H62" s="342">
        <v>0</v>
      </c>
      <c r="I62" s="335"/>
    </row>
    <row r="63" spans="1:9" x14ac:dyDescent="0.25">
      <c r="A63" s="341" t="s">
        <v>96</v>
      </c>
      <c r="B63" s="335"/>
      <c r="C63" s="2" t="s">
        <v>97</v>
      </c>
      <c r="D63" s="3">
        <v>20004</v>
      </c>
      <c r="E63" s="3">
        <v>22800</v>
      </c>
      <c r="F63" s="3">
        <v>25200</v>
      </c>
      <c r="G63" s="50">
        <v>17600</v>
      </c>
      <c r="H63" s="342">
        <v>0</v>
      </c>
      <c r="I63" s="335"/>
    </row>
    <row r="64" spans="1:9" x14ac:dyDescent="0.25">
      <c r="A64" s="341" t="s">
        <v>98</v>
      </c>
      <c r="B64" s="335"/>
      <c r="C64" s="2" t="s">
        <v>99</v>
      </c>
      <c r="D64" s="3">
        <v>1556.95</v>
      </c>
      <c r="E64" s="3">
        <v>858.28</v>
      </c>
      <c r="F64" s="3">
        <v>826.21</v>
      </c>
      <c r="G64" s="50">
        <v>551.26</v>
      </c>
      <c r="H64" s="342">
        <v>0</v>
      </c>
      <c r="I64" s="335"/>
    </row>
    <row r="65" spans="1:9" x14ac:dyDescent="0.25">
      <c r="A65" s="341" t="s">
        <v>100</v>
      </c>
      <c r="B65" s="335"/>
      <c r="C65" s="2" t="s">
        <v>17</v>
      </c>
      <c r="D65" s="3">
        <v>4116.0200000000004</v>
      </c>
      <c r="E65" s="3">
        <v>665.38</v>
      </c>
      <c r="F65" s="3">
        <v>0</v>
      </c>
      <c r="G65" s="50">
        <v>1760.67</v>
      </c>
      <c r="H65" s="342">
        <v>0</v>
      </c>
      <c r="I65" s="335"/>
    </row>
    <row r="66" spans="1:9" x14ac:dyDescent="0.25">
      <c r="A66" s="341" t="s">
        <v>101</v>
      </c>
      <c r="B66" s="335"/>
      <c r="C66" s="2" t="s">
        <v>64</v>
      </c>
      <c r="D66" s="3">
        <v>7818.12</v>
      </c>
      <c r="E66" s="3">
        <v>1224.17</v>
      </c>
      <c r="F66" s="3">
        <v>2528.29</v>
      </c>
      <c r="G66" s="50">
        <v>134.86000000000001</v>
      </c>
      <c r="H66" s="342">
        <v>0</v>
      </c>
      <c r="I66" s="335"/>
    </row>
    <row r="67" spans="1:9" x14ac:dyDescent="0.25">
      <c r="A67" s="341" t="s">
        <v>102</v>
      </c>
      <c r="B67" s="335"/>
      <c r="C67" s="2" t="s">
        <v>66</v>
      </c>
      <c r="D67" s="3">
        <v>2345.63</v>
      </c>
      <c r="E67" s="3">
        <v>400</v>
      </c>
      <c r="F67" s="3">
        <v>599</v>
      </c>
      <c r="G67" s="50">
        <v>1511</v>
      </c>
      <c r="H67" s="342">
        <v>0</v>
      </c>
      <c r="I67" s="335"/>
    </row>
    <row r="68" spans="1:9" ht="24" x14ac:dyDescent="0.25">
      <c r="A68" s="341" t="s">
        <v>103</v>
      </c>
      <c r="B68" s="335"/>
      <c r="C68" s="2" t="s">
        <v>104</v>
      </c>
      <c r="D68" s="3">
        <v>1807.61</v>
      </c>
      <c r="E68" s="3">
        <v>39.36</v>
      </c>
      <c r="F68" s="3">
        <v>0</v>
      </c>
      <c r="G68" s="50">
        <v>507.45</v>
      </c>
      <c r="H68" s="342">
        <v>0</v>
      </c>
      <c r="I68" s="335"/>
    </row>
    <row r="69" spans="1:9" x14ac:dyDescent="0.25">
      <c r="A69" s="341" t="s">
        <v>107</v>
      </c>
      <c r="B69" s="335"/>
      <c r="C69" s="2" t="s">
        <v>108</v>
      </c>
      <c r="D69" s="3">
        <v>99167.95</v>
      </c>
      <c r="E69" s="3">
        <v>132011.9</v>
      </c>
      <c r="F69" s="3">
        <v>140579.64000000001</v>
      </c>
      <c r="G69" s="50">
        <v>106956.06</v>
      </c>
      <c r="H69" s="342">
        <v>0</v>
      </c>
      <c r="I69" s="335"/>
    </row>
    <row r="70" spans="1:9" x14ac:dyDescent="0.25">
      <c r="A70" s="341" t="s">
        <v>109</v>
      </c>
      <c r="B70" s="335"/>
      <c r="C70" s="2" t="s">
        <v>29</v>
      </c>
      <c r="D70" s="3">
        <v>31288.45</v>
      </c>
      <c r="E70" s="3">
        <v>40629.86</v>
      </c>
      <c r="F70" s="3">
        <v>40703.4</v>
      </c>
      <c r="G70" s="50">
        <v>29879.119999999999</v>
      </c>
      <c r="H70" s="342">
        <v>0</v>
      </c>
      <c r="I70" s="335"/>
    </row>
    <row r="71" spans="1:9" x14ac:dyDescent="0.25">
      <c r="A71" s="341" t="s">
        <v>110</v>
      </c>
      <c r="B71" s="335"/>
      <c r="C71" s="2" t="s">
        <v>31</v>
      </c>
      <c r="D71" s="3">
        <v>397.98</v>
      </c>
      <c r="E71" s="3">
        <v>502.03</v>
      </c>
      <c r="F71" s="3">
        <v>529.29</v>
      </c>
      <c r="G71" s="50">
        <v>321.74</v>
      </c>
      <c r="H71" s="342">
        <v>0</v>
      </c>
      <c r="I71" s="335"/>
    </row>
    <row r="72" spans="1:9" x14ac:dyDescent="0.25">
      <c r="A72" s="341" t="s">
        <v>111</v>
      </c>
      <c r="B72" s="335"/>
      <c r="C72" s="2" t="s">
        <v>33</v>
      </c>
      <c r="D72" s="3">
        <v>16656.53</v>
      </c>
      <c r="E72" s="3">
        <v>21934.95</v>
      </c>
      <c r="F72" s="3">
        <v>21500.74</v>
      </c>
      <c r="G72" s="50">
        <v>14745.63</v>
      </c>
      <c r="H72" s="342">
        <v>0</v>
      </c>
      <c r="I72" s="335"/>
    </row>
    <row r="73" spans="1:9" ht="24" x14ac:dyDescent="0.25">
      <c r="A73" s="341" t="s">
        <v>112</v>
      </c>
      <c r="B73" s="335"/>
      <c r="C73" s="2" t="s">
        <v>113</v>
      </c>
      <c r="D73" s="3">
        <v>7419.66</v>
      </c>
      <c r="E73" s="3">
        <v>9984.43</v>
      </c>
      <c r="F73" s="3">
        <v>10724.76</v>
      </c>
      <c r="G73" s="50">
        <v>8399.68</v>
      </c>
      <c r="H73" s="342">
        <v>0</v>
      </c>
      <c r="I73" s="335"/>
    </row>
    <row r="74" spans="1:9" x14ac:dyDescent="0.25">
      <c r="A74" s="341" t="s">
        <v>114</v>
      </c>
      <c r="B74" s="335"/>
      <c r="C74" s="2" t="s">
        <v>13</v>
      </c>
      <c r="D74" s="3">
        <v>141.25</v>
      </c>
      <c r="E74" s="3">
        <v>195.83</v>
      </c>
      <c r="F74" s="3">
        <v>213.37</v>
      </c>
      <c r="G74" s="50">
        <v>238.59</v>
      </c>
      <c r="H74" s="342">
        <v>0</v>
      </c>
      <c r="I74" s="335"/>
    </row>
    <row r="75" spans="1:9" x14ac:dyDescent="0.25">
      <c r="A75" s="341" t="s">
        <v>115</v>
      </c>
      <c r="B75" s="335"/>
      <c r="C75" s="2" t="s">
        <v>37</v>
      </c>
      <c r="D75" s="3">
        <v>690.79</v>
      </c>
      <c r="E75" s="3">
        <v>595.9</v>
      </c>
      <c r="F75" s="3">
        <v>244.52</v>
      </c>
      <c r="G75" s="50">
        <v>291.94</v>
      </c>
      <c r="H75" s="342">
        <v>0</v>
      </c>
      <c r="I75" s="335"/>
    </row>
    <row r="76" spans="1:9" x14ac:dyDescent="0.25">
      <c r="A76" s="341" t="s">
        <v>116</v>
      </c>
      <c r="B76" s="335"/>
      <c r="C76" s="2" t="s">
        <v>39</v>
      </c>
      <c r="D76" s="3">
        <v>0</v>
      </c>
      <c r="E76" s="3">
        <v>0</v>
      </c>
      <c r="F76" s="3">
        <v>0</v>
      </c>
      <c r="G76" s="50">
        <v>0</v>
      </c>
      <c r="H76" s="342">
        <v>0</v>
      </c>
      <c r="I76" s="335"/>
    </row>
    <row r="77" spans="1:9" x14ac:dyDescent="0.25">
      <c r="A77" s="341" t="s">
        <v>117</v>
      </c>
      <c r="B77" s="335"/>
      <c r="C77" s="2" t="s">
        <v>92</v>
      </c>
      <c r="D77" s="3">
        <v>238.45</v>
      </c>
      <c r="E77" s="3">
        <v>0</v>
      </c>
      <c r="F77" s="3">
        <v>0</v>
      </c>
      <c r="G77" s="50">
        <v>0</v>
      </c>
      <c r="H77" s="342">
        <v>0</v>
      </c>
      <c r="I77" s="335"/>
    </row>
    <row r="78" spans="1:9" ht="24" x14ac:dyDescent="0.25">
      <c r="A78" s="341" t="s">
        <v>118</v>
      </c>
      <c r="B78" s="335"/>
      <c r="C78" s="2" t="s">
        <v>119</v>
      </c>
      <c r="D78" s="3">
        <v>4978.21</v>
      </c>
      <c r="E78" s="3">
        <v>10252.23</v>
      </c>
      <c r="F78" s="3">
        <v>12658.64</v>
      </c>
      <c r="G78" s="50">
        <v>10252.23</v>
      </c>
      <c r="H78" s="342">
        <v>0</v>
      </c>
      <c r="I78" s="335"/>
    </row>
    <row r="79" spans="1:9" x14ac:dyDescent="0.25">
      <c r="A79" s="341" t="s">
        <v>120</v>
      </c>
      <c r="B79" s="335"/>
      <c r="C79" s="2" t="s">
        <v>17</v>
      </c>
      <c r="D79" s="3">
        <v>1173.58</v>
      </c>
      <c r="E79" s="3">
        <v>0</v>
      </c>
      <c r="F79" s="3">
        <v>551.46</v>
      </c>
      <c r="G79" s="50">
        <v>914.88</v>
      </c>
      <c r="H79" s="342">
        <v>0</v>
      </c>
      <c r="I79" s="335"/>
    </row>
    <row r="80" spans="1:9" x14ac:dyDescent="0.25">
      <c r="A80" s="341" t="s">
        <v>121</v>
      </c>
      <c r="B80" s="335"/>
      <c r="C80" s="2" t="s">
        <v>64</v>
      </c>
      <c r="D80" s="3">
        <v>1067.1500000000001</v>
      </c>
      <c r="E80" s="3">
        <v>646.52</v>
      </c>
      <c r="F80" s="3">
        <v>791</v>
      </c>
      <c r="G80" s="50">
        <v>839</v>
      </c>
      <c r="H80" s="342">
        <v>0</v>
      </c>
      <c r="I80" s="335"/>
    </row>
    <row r="81" spans="1:9" x14ac:dyDescent="0.25">
      <c r="A81" s="341" t="s">
        <v>122</v>
      </c>
      <c r="B81" s="335"/>
      <c r="C81" s="2" t="s">
        <v>66</v>
      </c>
      <c r="D81" s="3">
        <v>2314</v>
      </c>
      <c r="E81" s="3">
        <v>335</v>
      </c>
      <c r="F81" s="3">
        <v>985</v>
      </c>
      <c r="G81" s="50">
        <v>1691.19</v>
      </c>
      <c r="H81" s="342">
        <v>0</v>
      </c>
      <c r="I81" s="335"/>
    </row>
    <row r="82" spans="1:9" x14ac:dyDescent="0.25">
      <c r="A82" s="341" t="s">
        <v>125</v>
      </c>
      <c r="B82" s="335"/>
      <c r="C82" s="2" t="s">
        <v>108</v>
      </c>
      <c r="D82" s="3">
        <v>240990.28</v>
      </c>
      <c r="E82" s="3">
        <v>284739.8</v>
      </c>
      <c r="F82" s="3">
        <v>306422.73</v>
      </c>
      <c r="G82" s="50">
        <v>207165.61</v>
      </c>
      <c r="H82" s="342">
        <v>0</v>
      </c>
      <c r="I82" s="335"/>
    </row>
    <row r="83" spans="1:9" x14ac:dyDescent="0.25">
      <c r="A83" s="341" t="s">
        <v>126</v>
      </c>
      <c r="B83" s="335"/>
      <c r="C83" s="2" t="s">
        <v>29</v>
      </c>
      <c r="D83" s="3">
        <v>31330.54</v>
      </c>
      <c r="E83" s="3">
        <v>45373.98</v>
      </c>
      <c r="F83" s="3">
        <v>49038.39</v>
      </c>
      <c r="G83" s="50">
        <v>43857.93</v>
      </c>
      <c r="H83" s="342">
        <v>0</v>
      </c>
      <c r="I83" s="335"/>
    </row>
    <row r="84" spans="1:9" x14ac:dyDescent="0.25">
      <c r="A84" s="341" t="s">
        <v>127</v>
      </c>
      <c r="B84" s="335"/>
      <c r="C84" s="2" t="s">
        <v>128</v>
      </c>
      <c r="D84" s="3">
        <v>835.49</v>
      </c>
      <c r="E84" s="3">
        <v>934.94</v>
      </c>
      <c r="F84" s="3">
        <v>928.95</v>
      </c>
      <c r="G84" s="50">
        <v>508.58</v>
      </c>
      <c r="H84" s="342">
        <v>0</v>
      </c>
      <c r="I84" s="335"/>
    </row>
    <row r="85" spans="1:9" x14ac:dyDescent="0.25">
      <c r="A85" s="341" t="s">
        <v>129</v>
      </c>
      <c r="B85" s="335"/>
      <c r="C85" s="2" t="s">
        <v>33</v>
      </c>
      <c r="D85" s="3">
        <v>35766.81</v>
      </c>
      <c r="E85" s="3">
        <v>42660.44</v>
      </c>
      <c r="F85" s="3">
        <v>41467.99</v>
      </c>
      <c r="G85" s="50">
        <v>22558</v>
      </c>
      <c r="H85" s="342">
        <v>0</v>
      </c>
      <c r="I85" s="335"/>
    </row>
    <row r="86" spans="1:9" ht="24" x14ac:dyDescent="0.25">
      <c r="A86" s="341" t="s">
        <v>130</v>
      </c>
      <c r="B86" s="335"/>
      <c r="C86" s="2" t="s">
        <v>113</v>
      </c>
      <c r="D86" s="3">
        <v>18273.98</v>
      </c>
      <c r="E86" s="3">
        <v>21448.87</v>
      </c>
      <c r="F86" s="3">
        <v>22752.080000000002</v>
      </c>
      <c r="G86" s="50">
        <v>15276.54</v>
      </c>
      <c r="H86" s="342">
        <v>0</v>
      </c>
      <c r="I86" s="335"/>
    </row>
    <row r="87" spans="1:9" x14ac:dyDescent="0.25">
      <c r="A87" s="341" t="s">
        <v>131</v>
      </c>
      <c r="B87" s="335"/>
      <c r="C87" s="2" t="s">
        <v>13</v>
      </c>
      <c r="D87" s="3">
        <v>340.99</v>
      </c>
      <c r="E87" s="3">
        <v>415.4</v>
      </c>
      <c r="F87" s="3">
        <v>442.56</v>
      </c>
      <c r="G87" s="50">
        <v>431.63</v>
      </c>
      <c r="H87" s="342">
        <v>0</v>
      </c>
      <c r="I87" s="335"/>
    </row>
    <row r="88" spans="1:9" x14ac:dyDescent="0.25">
      <c r="A88" s="341" t="s">
        <v>132</v>
      </c>
      <c r="B88" s="335"/>
      <c r="C88" s="2" t="s">
        <v>37</v>
      </c>
      <c r="D88" s="3">
        <v>3721.52</v>
      </c>
      <c r="E88" s="3">
        <v>3954.44</v>
      </c>
      <c r="F88" s="3">
        <v>4475.28</v>
      </c>
      <c r="G88" s="50">
        <v>1627.39</v>
      </c>
      <c r="H88" s="342">
        <v>0</v>
      </c>
      <c r="I88" s="335"/>
    </row>
    <row r="89" spans="1:9" x14ac:dyDescent="0.25">
      <c r="A89" s="341" t="s">
        <v>133</v>
      </c>
      <c r="B89" s="335"/>
      <c r="C89" s="2" t="s">
        <v>39</v>
      </c>
      <c r="D89" s="3">
        <v>32.61</v>
      </c>
      <c r="E89" s="3">
        <v>0</v>
      </c>
      <c r="F89" s="3">
        <v>124.9</v>
      </c>
      <c r="G89" s="50">
        <v>0</v>
      </c>
      <c r="H89" s="342">
        <v>0</v>
      </c>
      <c r="I89" s="335"/>
    </row>
    <row r="90" spans="1:9" x14ac:dyDescent="0.25">
      <c r="A90" s="341" t="s">
        <v>134</v>
      </c>
      <c r="B90" s="335"/>
      <c r="C90" s="2" t="s">
        <v>90</v>
      </c>
      <c r="D90" s="3">
        <v>1003.2</v>
      </c>
      <c r="E90" s="3">
        <v>512.79</v>
      </c>
      <c r="F90" s="3">
        <v>36.369999999999997</v>
      </c>
      <c r="G90" s="50">
        <v>0</v>
      </c>
      <c r="H90" s="342">
        <v>0</v>
      </c>
      <c r="I90" s="335"/>
    </row>
    <row r="91" spans="1:9" ht="24" x14ac:dyDescent="0.25">
      <c r="A91" s="341" t="s">
        <v>135</v>
      </c>
      <c r="B91" s="335"/>
      <c r="C91" s="2" t="s">
        <v>136</v>
      </c>
      <c r="D91" s="3">
        <v>9130.6299999999992</v>
      </c>
      <c r="E91" s="3">
        <v>11296.11</v>
      </c>
      <c r="F91" s="3">
        <v>6583.43</v>
      </c>
      <c r="G91" s="50">
        <v>11296.11</v>
      </c>
      <c r="H91" s="342">
        <v>0</v>
      </c>
      <c r="I91" s="335"/>
    </row>
    <row r="92" spans="1:9" ht="24" x14ac:dyDescent="0.25">
      <c r="A92" s="341" t="s">
        <v>3206</v>
      </c>
      <c r="B92" s="335"/>
      <c r="C92" s="2" t="s">
        <v>3205</v>
      </c>
      <c r="D92" s="3">
        <v>0</v>
      </c>
      <c r="E92" s="3">
        <v>0</v>
      </c>
      <c r="F92" s="3">
        <v>0</v>
      </c>
      <c r="G92" s="50">
        <v>13480</v>
      </c>
      <c r="H92" s="342">
        <v>0</v>
      </c>
      <c r="I92" s="335"/>
    </row>
    <row r="93" spans="1:9" x14ac:dyDescent="0.25">
      <c r="A93" s="341" t="s">
        <v>137</v>
      </c>
      <c r="B93" s="335"/>
      <c r="C93" s="2" t="s">
        <v>138</v>
      </c>
      <c r="D93" s="3">
        <v>0</v>
      </c>
      <c r="E93" s="3">
        <v>0</v>
      </c>
      <c r="F93" s="3">
        <v>0</v>
      </c>
      <c r="G93" s="50">
        <v>8151.01</v>
      </c>
      <c r="H93" s="342">
        <v>0</v>
      </c>
      <c r="I93" s="335"/>
    </row>
    <row r="94" spans="1:9" x14ac:dyDescent="0.25">
      <c r="A94" s="341" t="s">
        <v>139</v>
      </c>
      <c r="B94" s="335"/>
      <c r="C94" s="2" t="s">
        <v>99</v>
      </c>
      <c r="D94" s="3">
        <v>645.75</v>
      </c>
      <c r="E94" s="3">
        <v>676.21</v>
      </c>
      <c r="F94" s="3">
        <v>626.77</v>
      </c>
      <c r="G94" s="50">
        <v>209.06</v>
      </c>
      <c r="H94" s="342">
        <v>0</v>
      </c>
      <c r="I94" s="335"/>
    </row>
    <row r="95" spans="1:9" x14ac:dyDescent="0.25">
      <c r="A95" s="341" t="s">
        <v>140</v>
      </c>
      <c r="B95" s="335"/>
      <c r="C95" s="2" t="s">
        <v>59</v>
      </c>
      <c r="D95" s="3">
        <v>3212.51</v>
      </c>
      <c r="E95" s="3">
        <v>3459.86</v>
      </c>
      <c r="F95" s="3">
        <v>1508.97</v>
      </c>
      <c r="G95" s="50">
        <v>2530.64</v>
      </c>
      <c r="H95" s="342">
        <v>0</v>
      </c>
      <c r="I95" s="335"/>
    </row>
    <row r="96" spans="1:9" x14ac:dyDescent="0.25">
      <c r="A96" s="341" t="s">
        <v>141</v>
      </c>
      <c r="B96" s="335"/>
      <c r="C96" s="2" t="s">
        <v>17</v>
      </c>
      <c r="D96" s="3">
        <v>3094.04</v>
      </c>
      <c r="E96" s="3">
        <v>942.56</v>
      </c>
      <c r="F96" s="3">
        <v>0</v>
      </c>
      <c r="G96" s="50">
        <v>1752.66</v>
      </c>
      <c r="H96" s="342">
        <v>0</v>
      </c>
      <c r="I96" s="335"/>
    </row>
    <row r="97" spans="1:9" x14ac:dyDescent="0.25">
      <c r="A97" s="341" t="s">
        <v>142</v>
      </c>
      <c r="B97" s="335"/>
      <c r="C97" s="2" t="s">
        <v>64</v>
      </c>
      <c r="D97" s="3">
        <v>213.5</v>
      </c>
      <c r="E97" s="3">
        <v>0</v>
      </c>
      <c r="F97" s="3">
        <v>0</v>
      </c>
      <c r="G97" s="50">
        <v>562.46</v>
      </c>
      <c r="H97" s="342">
        <v>0</v>
      </c>
      <c r="I97" s="335"/>
    </row>
    <row r="98" spans="1:9" x14ac:dyDescent="0.25">
      <c r="A98" s="341" t="s">
        <v>143</v>
      </c>
      <c r="B98" s="335"/>
      <c r="C98" s="2" t="s">
        <v>144</v>
      </c>
      <c r="D98" s="3">
        <v>582.92999999999995</v>
      </c>
      <c r="E98" s="3">
        <v>0</v>
      </c>
      <c r="F98" s="3">
        <v>0</v>
      </c>
      <c r="G98" s="50">
        <v>475.25</v>
      </c>
      <c r="H98" s="342">
        <v>0</v>
      </c>
      <c r="I98" s="335"/>
    </row>
    <row r="99" spans="1:9" x14ac:dyDescent="0.25">
      <c r="A99" s="341" t="s">
        <v>145</v>
      </c>
      <c r="B99" s="335"/>
      <c r="C99" s="2" t="s">
        <v>66</v>
      </c>
      <c r="D99" s="3">
        <v>2454</v>
      </c>
      <c r="E99" s="3">
        <v>2220</v>
      </c>
      <c r="F99" s="3">
        <v>2287</v>
      </c>
      <c r="G99" s="50">
        <v>23170.5</v>
      </c>
      <c r="H99" s="342">
        <v>0</v>
      </c>
      <c r="I99" s="335"/>
    </row>
    <row r="100" spans="1:9" x14ac:dyDescent="0.25">
      <c r="A100" s="341" t="s">
        <v>146</v>
      </c>
      <c r="B100" s="335"/>
      <c r="C100" s="2" t="s">
        <v>147</v>
      </c>
      <c r="D100" s="3">
        <v>485</v>
      </c>
      <c r="E100" s="3">
        <v>792</v>
      </c>
      <c r="F100" s="3">
        <v>915</v>
      </c>
      <c r="G100" s="50">
        <v>455</v>
      </c>
      <c r="H100" s="342">
        <v>0</v>
      </c>
      <c r="I100" s="335"/>
    </row>
    <row r="101" spans="1:9" x14ac:dyDescent="0.25">
      <c r="A101" s="341" t="s">
        <v>148</v>
      </c>
      <c r="B101" s="335"/>
      <c r="C101" s="2" t="s">
        <v>149</v>
      </c>
      <c r="D101" s="3">
        <v>0</v>
      </c>
      <c r="E101" s="3">
        <v>0</v>
      </c>
      <c r="F101" s="3">
        <v>0</v>
      </c>
      <c r="G101" s="3">
        <v>0</v>
      </c>
      <c r="H101" s="342">
        <v>0</v>
      </c>
      <c r="I101" s="335"/>
    </row>
    <row r="102" spans="1:9" x14ac:dyDescent="0.25">
      <c r="A102" s="341" t="s">
        <v>152</v>
      </c>
      <c r="B102" s="335"/>
      <c r="C102" s="2" t="s">
        <v>153</v>
      </c>
      <c r="D102" s="3">
        <v>5160.25</v>
      </c>
      <c r="E102" s="3">
        <v>6941.96</v>
      </c>
      <c r="F102" s="3">
        <v>4918.03</v>
      </c>
      <c r="G102" s="50">
        <v>5041.43</v>
      </c>
      <c r="H102" s="342">
        <v>0</v>
      </c>
      <c r="I102" s="335"/>
    </row>
    <row r="103" spans="1:9" x14ac:dyDescent="0.25">
      <c r="A103" s="341" t="s">
        <v>154</v>
      </c>
      <c r="B103" s="335"/>
      <c r="C103" s="2" t="s">
        <v>108</v>
      </c>
      <c r="D103" s="3">
        <v>62216.82</v>
      </c>
      <c r="E103" s="3">
        <v>65562.39</v>
      </c>
      <c r="F103" s="3">
        <v>74360.240000000005</v>
      </c>
      <c r="G103" s="50">
        <v>64268.69</v>
      </c>
      <c r="H103" s="342">
        <v>0</v>
      </c>
      <c r="I103" s="335"/>
    </row>
    <row r="104" spans="1:9" x14ac:dyDescent="0.25">
      <c r="A104" s="341" t="s">
        <v>155</v>
      </c>
      <c r="B104" s="335"/>
      <c r="C104" s="2" t="s">
        <v>29</v>
      </c>
      <c r="D104" s="3">
        <v>21162.11</v>
      </c>
      <c r="E104" s="3">
        <v>21444.27</v>
      </c>
      <c r="F104" s="3">
        <v>21300.080000000002</v>
      </c>
      <c r="G104" s="50">
        <v>21556.68</v>
      </c>
      <c r="H104" s="342">
        <v>0</v>
      </c>
      <c r="I104" s="335"/>
    </row>
    <row r="105" spans="1:9" x14ac:dyDescent="0.25">
      <c r="A105" s="341" t="s">
        <v>156</v>
      </c>
      <c r="B105" s="335"/>
      <c r="C105" s="2" t="s">
        <v>31</v>
      </c>
      <c r="D105" s="3">
        <v>268.11</v>
      </c>
      <c r="E105" s="3">
        <v>243.22</v>
      </c>
      <c r="F105" s="3">
        <v>240.05</v>
      </c>
      <c r="G105" s="50">
        <v>173.51</v>
      </c>
      <c r="H105" s="342">
        <v>0</v>
      </c>
      <c r="I105" s="335"/>
    </row>
    <row r="106" spans="1:9" x14ac:dyDescent="0.25">
      <c r="A106" s="341" t="s">
        <v>157</v>
      </c>
      <c r="B106" s="335"/>
      <c r="C106" s="2" t="s">
        <v>158</v>
      </c>
      <c r="D106" s="3">
        <v>11290.98</v>
      </c>
      <c r="E106" s="3">
        <v>12088.54</v>
      </c>
      <c r="F106" s="3">
        <v>11902.93</v>
      </c>
      <c r="G106" s="50">
        <v>9016.43</v>
      </c>
      <c r="H106" s="342">
        <v>0</v>
      </c>
      <c r="I106" s="335"/>
    </row>
    <row r="107" spans="1:9" ht="24" x14ac:dyDescent="0.25">
      <c r="A107" s="341" t="s">
        <v>159</v>
      </c>
      <c r="B107" s="335"/>
      <c r="C107" s="2" t="s">
        <v>113</v>
      </c>
      <c r="D107" s="3">
        <v>3900.25</v>
      </c>
      <c r="E107" s="3">
        <v>4116.05</v>
      </c>
      <c r="F107" s="3">
        <v>5614.06</v>
      </c>
      <c r="G107" s="50">
        <v>4838.8599999999997</v>
      </c>
      <c r="H107" s="342">
        <v>0</v>
      </c>
      <c r="I107" s="335"/>
    </row>
    <row r="108" spans="1:9" x14ac:dyDescent="0.25">
      <c r="A108" s="341" t="s">
        <v>160</v>
      </c>
      <c r="B108" s="335"/>
      <c r="C108" s="2" t="s">
        <v>13</v>
      </c>
      <c r="D108" s="3">
        <v>89.92</v>
      </c>
      <c r="E108" s="3">
        <v>98.71</v>
      </c>
      <c r="F108" s="3">
        <v>109.16</v>
      </c>
      <c r="G108" s="50">
        <v>137.26</v>
      </c>
      <c r="H108" s="342">
        <v>0</v>
      </c>
      <c r="I108" s="335"/>
    </row>
    <row r="109" spans="1:9" x14ac:dyDescent="0.25">
      <c r="A109" s="341" t="s">
        <v>161</v>
      </c>
      <c r="B109" s="335"/>
      <c r="C109" s="2" t="s">
        <v>162</v>
      </c>
      <c r="D109" s="3">
        <v>0</v>
      </c>
      <c r="E109" s="3">
        <v>0</v>
      </c>
      <c r="F109" s="3">
        <v>564.12</v>
      </c>
      <c r="G109" s="50">
        <v>0</v>
      </c>
      <c r="H109" s="342">
        <v>0</v>
      </c>
      <c r="I109" s="335"/>
    </row>
    <row r="110" spans="1:9" x14ac:dyDescent="0.25">
      <c r="A110" s="341" t="s">
        <v>163</v>
      </c>
      <c r="B110" s="335"/>
      <c r="C110" s="2" t="s">
        <v>37</v>
      </c>
      <c r="D110" s="3">
        <v>56.25</v>
      </c>
      <c r="E110" s="3">
        <v>86.97</v>
      </c>
      <c r="F110" s="3">
        <v>19.57</v>
      </c>
      <c r="G110" s="50">
        <v>18.489999999999998</v>
      </c>
      <c r="H110" s="342">
        <v>0</v>
      </c>
      <c r="I110" s="335"/>
    </row>
    <row r="111" spans="1:9" x14ac:dyDescent="0.25">
      <c r="A111" s="341" t="s">
        <v>164</v>
      </c>
      <c r="B111" s="335"/>
      <c r="C111" s="2" t="s">
        <v>90</v>
      </c>
      <c r="D111" s="3">
        <v>0</v>
      </c>
      <c r="E111" s="3">
        <v>204.3</v>
      </c>
      <c r="F111" s="3">
        <v>0</v>
      </c>
      <c r="G111" s="50">
        <v>0</v>
      </c>
      <c r="H111" s="342">
        <v>0</v>
      </c>
      <c r="I111" s="335"/>
    </row>
    <row r="112" spans="1:9" ht="24" x14ac:dyDescent="0.25">
      <c r="A112" s="341" t="s">
        <v>165</v>
      </c>
      <c r="B112" s="335"/>
      <c r="C112" s="2" t="s">
        <v>119</v>
      </c>
      <c r="D112" s="3">
        <v>2264.6</v>
      </c>
      <c r="E112" s="3">
        <v>5714.29</v>
      </c>
      <c r="F112" s="3">
        <v>5198.22</v>
      </c>
      <c r="G112" s="50">
        <v>5714.29</v>
      </c>
      <c r="H112" s="342">
        <v>0</v>
      </c>
      <c r="I112" s="335"/>
    </row>
    <row r="113" spans="1:9" x14ac:dyDescent="0.25">
      <c r="A113" s="341" t="s">
        <v>166</v>
      </c>
      <c r="B113" s="335"/>
      <c r="C113" s="2" t="s">
        <v>144</v>
      </c>
      <c r="D113" s="3">
        <v>0</v>
      </c>
      <c r="E113" s="3">
        <v>180</v>
      </c>
      <c r="F113" s="3">
        <v>634.71</v>
      </c>
      <c r="G113" s="50">
        <v>340.21</v>
      </c>
      <c r="H113" s="342">
        <v>0</v>
      </c>
      <c r="I113" s="335"/>
    </row>
    <row r="114" spans="1:9" x14ac:dyDescent="0.25">
      <c r="A114" s="341" t="s">
        <v>167</v>
      </c>
      <c r="B114" s="335"/>
      <c r="C114" s="2" t="s">
        <v>99</v>
      </c>
      <c r="D114" s="3">
        <v>900</v>
      </c>
      <c r="E114" s="3">
        <v>727.47</v>
      </c>
      <c r="F114" s="3">
        <v>635.44000000000005</v>
      </c>
      <c r="G114" s="50">
        <v>424.18</v>
      </c>
      <c r="H114" s="342">
        <v>0</v>
      </c>
      <c r="I114" s="335"/>
    </row>
    <row r="115" spans="1:9" x14ac:dyDescent="0.25">
      <c r="A115" s="341" t="s">
        <v>168</v>
      </c>
      <c r="B115" s="335"/>
      <c r="C115" s="2" t="s">
        <v>17</v>
      </c>
      <c r="D115" s="3">
        <v>391.45</v>
      </c>
      <c r="E115" s="3">
        <v>0.5</v>
      </c>
      <c r="F115" s="3">
        <v>0</v>
      </c>
      <c r="G115" s="50">
        <v>293.35000000000002</v>
      </c>
      <c r="H115" s="342">
        <v>0</v>
      </c>
      <c r="I115" s="335"/>
    </row>
    <row r="116" spans="1:9" x14ac:dyDescent="0.25">
      <c r="A116" s="341" t="s">
        <v>169</v>
      </c>
      <c r="B116" s="335"/>
      <c r="C116" s="2" t="s">
        <v>64</v>
      </c>
      <c r="D116" s="3">
        <v>118.55</v>
      </c>
      <c r="E116" s="3">
        <v>141.81</v>
      </c>
      <c r="F116" s="3">
        <v>82.4</v>
      </c>
      <c r="G116" s="50">
        <v>419.18</v>
      </c>
      <c r="H116" s="342">
        <v>0</v>
      </c>
      <c r="I116" s="335"/>
    </row>
    <row r="117" spans="1:9" x14ac:dyDescent="0.25">
      <c r="A117" s="341" t="s">
        <v>170</v>
      </c>
      <c r="B117" s="335"/>
      <c r="C117" s="2" t="s">
        <v>66</v>
      </c>
      <c r="D117" s="3">
        <v>658</v>
      </c>
      <c r="E117" s="3">
        <v>0</v>
      </c>
      <c r="F117" s="3">
        <v>231.08</v>
      </c>
      <c r="G117" s="50">
        <v>410</v>
      </c>
      <c r="H117" s="342">
        <v>0</v>
      </c>
      <c r="I117" s="335"/>
    </row>
    <row r="118" spans="1:9" x14ac:dyDescent="0.25">
      <c r="A118" s="341" t="s">
        <v>173</v>
      </c>
      <c r="B118" s="335"/>
      <c r="C118" s="2" t="s">
        <v>174</v>
      </c>
      <c r="D118" s="3">
        <v>32715.5</v>
      </c>
      <c r="E118" s="3">
        <v>0</v>
      </c>
      <c r="F118" s="3">
        <v>0</v>
      </c>
      <c r="G118" s="3">
        <v>0</v>
      </c>
      <c r="H118" s="342">
        <v>0</v>
      </c>
      <c r="I118" s="335"/>
    </row>
    <row r="119" spans="1:9" x14ac:dyDescent="0.25">
      <c r="A119" s="341" t="s">
        <v>175</v>
      </c>
      <c r="B119" s="335"/>
      <c r="C119" s="2" t="s">
        <v>176</v>
      </c>
      <c r="D119" s="3">
        <v>104199.6</v>
      </c>
      <c r="E119" s="3">
        <v>105703.55</v>
      </c>
      <c r="F119" s="3">
        <v>86113.74</v>
      </c>
      <c r="G119" s="50">
        <v>62217.8</v>
      </c>
      <c r="H119" s="342">
        <v>0</v>
      </c>
      <c r="I119" s="335"/>
    </row>
    <row r="120" spans="1:9" x14ac:dyDescent="0.25">
      <c r="A120" s="341" t="s">
        <v>177</v>
      </c>
      <c r="B120" s="335"/>
      <c r="C120" s="2" t="s">
        <v>178</v>
      </c>
      <c r="D120" s="3">
        <v>0</v>
      </c>
      <c r="E120" s="3">
        <v>0</v>
      </c>
      <c r="F120" s="3">
        <v>18014.25</v>
      </c>
      <c r="G120" s="50">
        <v>8305.5</v>
      </c>
      <c r="H120" s="342">
        <v>0</v>
      </c>
      <c r="I120" s="335"/>
    </row>
    <row r="121" spans="1:9" x14ac:dyDescent="0.25">
      <c r="A121" s="341" t="s">
        <v>179</v>
      </c>
      <c r="B121" s="335"/>
      <c r="C121" s="2" t="s">
        <v>180</v>
      </c>
      <c r="D121" s="3">
        <v>0</v>
      </c>
      <c r="E121" s="3">
        <v>11392</v>
      </c>
      <c r="F121" s="3">
        <v>6444.59</v>
      </c>
      <c r="G121" s="50">
        <v>4015</v>
      </c>
      <c r="H121" s="342">
        <v>0</v>
      </c>
      <c r="I121" s="335"/>
    </row>
    <row r="122" spans="1:9" x14ac:dyDescent="0.25">
      <c r="A122" s="341" t="s">
        <v>183</v>
      </c>
      <c r="B122" s="335"/>
      <c r="C122" s="2" t="s">
        <v>184</v>
      </c>
      <c r="D122" s="3">
        <v>32801.89</v>
      </c>
      <c r="E122" s="3">
        <v>16913.02</v>
      </c>
      <c r="F122" s="3">
        <v>33264.300000000003</v>
      </c>
      <c r="G122" s="3">
        <v>0</v>
      </c>
      <c r="H122" s="342">
        <v>0</v>
      </c>
      <c r="I122" s="335"/>
    </row>
    <row r="123" spans="1:9" ht="24" x14ac:dyDescent="0.25">
      <c r="A123" s="341" t="s">
        <v>185</v>
      </c>
      <c r="B123" s="335"/>
      <c r="C123" s="2" t="s">
        <v>186</v>
      </c>
      <c r="D123" s="3">
        <v>61.28</v>
      </c>
      <c r="E123" s="3">
        <v>11509.97</v>
      </c>
      <c r="F123" s="3">
        <v>5213.09</v>
      </c>
      <c r="G123" s="3">
        <v>0</v>
      </c>
      <c r="H123" s="342">
        <v>0</v>
      </c>
      <c r="I123" s="335"/>
    </row>
    <row r="124" spans="1:9" x14ac:dyDescent="0.25">
      <c r="A124" s="341" t="s">
        <v>187</v>
      </c>
      <c r="B124" s="335"/>
      <c r="C124" s="2" t="s">
        <v>188</v>
      </c>
      <c r="D124" s="3">
        <v>239207</v>
      </c>
      <c r="E124" s="3">
        <v>320768</v>
      </c>
      <c r="F124" s="3">
        <v>366941</v>
      </c>
      <c r="G124" s="50">
        <v>412755</v>
      </c>
      <c r="H124" s="342">
        <v>0</v>
      </c>
      <c r="I124" s="335"/>
    </row>
    <row r="125" spans="1:9" x14ac:dyDescent="0.25">
      <c r="A125" s="341" t="s">
        <v>189</v>
      </c>
      <c r="B125" s="335"/>
      <c r="C125" s="2" t="s">
        <v>190</v>
      </c>
      <c r="D125" s="3">
        <v>0</v>
      </c>
      <c r="E125" s="3">
        <v>0</v>
      </c>
      <c r="F125" s="3">
        <v>0</v>
      </c>
      <c r="G125" s="50">
        <v>0</v>
      </c>
      <c r="H125" s="342">
        <v>0</v>
      </c>
      <c r="I125" s="335"/>
    </row>
    <row r="126" spans="1:9" x14ac:dyDescent="0.25">
      <c r="A126" s="341" t="s">
        <v>191</v>
      </c>
      <c r="B126" s="335"/>
      <c r="C126" s="2" t="s">
        <v>192</v>
      </c>
      <c r="D126" s="3">
        <v>-60000</v>
      </c>
      <c r="E126" s="3">
        <v>-26339</v>
      </c>
      <c r="F126" s="3">
        <v>-75387.66</v>
      </c>
      <c r="G126" s="50">
        <v>0</v>
      </c>
      <c r="H126" s="342">
        <v>0</v>
      </c>
      <c r="I126" s="335"/>
    </row>
    <row r="127" spans="1:9" x14ac:dyDescent="0.25">
      <c r="A127" s="341" t="s">
        <v>193</v>
      </c>
      <c r="B127" s="335"/>
      <c r="C127" s="2" t="s">
        <v>194</v>
      </c>
      <c r="D127" s="3">
        <v>0</v>
      </c>
      <c r="E127" s="3">
        <v>276412.34999999998</v>
      </c>
      <c r="F127" s="3">
        <v>0</v>
      </c>
      <c r="G127" s="50">
        <v>0</v>
      </c>
      <c r="H127" s="342">
        <v>0</v>
      </c>
      <c r="I127" s="335"/>
    </row>
    <row r="128" spans="1:9" x14ac:dyDescent="0.25">
      <c r="A128" s="341" t="s">
        <v>195</v>
      </c>
      <c r="B128" s="335"/>
      <c r="C128" s="2" t="s">
        <v>196</v>
      </c>
      <c r="D128" s="3">
        <v>2896.03</v>
      </c>
      <c r="E128" s="3">
        <v>5608.91</v>
      </c>
      <c r="F128" s="3">
        <v>1876.67</v>
      </c>
      <c r="G128" s="50">
        <v>1824.27</v>
      </c>
      <c r="H128" s="342">
        <v>0</v>
      </c>
      <c r="I128" s="335"/>
    </row>
    <row r="129" spans="1:9" x14ac:dyDescent="0.25">
      <c r="A129" s="341" t="s">
        <v>197</v>
      </c>
      <c r="B129" s="335"/>
      <c r="C129" s="2" t="s">
        <v>198</v>
      </c>
      <c r="D129" s="3">
        <v>18810.560000000001</v>
      </c>
      <c r="E129" s="3">
        <v>8859.9699999999993</v>
      </c>
      <c r="F129" s="3">
        <v>8001.59</v>
      </c>
      <c r="G129" s="50">
        <v>8859.9699999999993</v>
      </c>
      <c r="H129" s="342">
        <v>0</v>
      </c>
      <c r="I129" s="335"/>
    </row>
    <row r="130" spans="1:9" x14ac:dyDescent="0.25">
      <c r="A130" s="341" t="s">
        <v>199</v>
      </c>
      <c r="B130" s="335"/>
      <c r="C130" s="2" t="s">
        <v>92</v>
      </c>
      <c r="D130" s="3">
        <v>0</v>
      </c>
      <c r="E130" s="3">
        <v>11703.78</v>
      </c>
      <c r="F130" s="3">
        <v>9393.91</v>
      </c>
      <c r="G130" s="50">
        <v>11703.78</v>
      </c>
      <c r="H130" s="342">
        <v>0</v>
      </c>
      <c r="I130" s="335"/>
    </row>
    <row r="131" spans="1:9" x14ac:dyDescent="0.25">
      <c r="A131" s="341" t="s">
        <v>200</v>
      </c>
      <c r="B131" s="335"/>
      <c r="C131" s="2" t="s">
        <v>95</v>
      </c>
      <c r="D131" s="3">
        <v>5886.84</v>
      </c>
      <c r="E131" s="3">
        <v>10077.08</v>
      </c>
      <c r="F131" s="3">
        <v>21821.69</v>
      </c>
      <c r="G131" s="50">
        <v>5350</v>
      </c>
      <c r="H131" s="342">
        <v>0</v>
      </c>
      <c r="I131" s="335"/>
    </row>
    <row r="132" spans="1:9" x14ac:dyDescent="0.25">
      <c r="A132" s="341" t="s">
        <v>201</v>
      </c>
      <c r="B132" s="335"/>
      <c r="C132" s="2" t="s">
        <v>202</v>
      </c>
      <c r="D132" s="3">
        <v>6446.62</v>
      </c>
      <c r="E132" s="3">
        <v>5707.27</v>
      </c>
      <c r="F132" s="3">
        <v>7095.49</v>
      </c>
      <c r="G132" s="50">
        <v>3564.83</v>
      </c>
      <c r="H132" s="342">
        <v>0</v>
      </c>
      <c r="I132" s="335"/>
    </row>
    <row r="133" spans="1:9" x14ac:dyDescent="0.25">
      <c r="A133" s="341" t="s">
        <v>203</v>
      </c>
      <c r="B133" s="335"/>
      <c r="C133" s="2" t="s">
        <v>204</v>
      </c>
      <c r="D133" s="3">
        <v>9310.7199999999993</v>
      </c>
      <c r="E133" s="3">
        <v>38781.99</v>
      </c>
      <c r="F133" s="3">
        <v>4863.3</v>
      </c>
      <c r="G133" s="50">
        <v>5398.65</v>
      </c>
      <c r="H133" s="342">
        <v>0</v>
      </c>
      <c r="I133" s="335"/>
    </row>
    <row r="134" spans="1:9" x14ac:dyDescent="0.25">
      <c r="A134" s="341" t="s">
        <v>205</v>
      </c>
      <c r="B134" s="335"/>
      <c r="C134" s="2" t="s">
        <v>57</v>
      </c>
      <c r="D134" s="3">
        <v>5064.8100000000004</v>
      </c>
      <c r="E134" s="3">
        <v>5429.45</v>
      </c>
      <c r="F134" s="3">
        <v>6627.73</v>
      </c>
      <c r="G134" s="50">
        <v>7264.17</v>
      </c>
      <c r="H134" s="342">
        <v>0</v>
      </c>
      <c r="I134" s="335"/>
    </row>
    <row r="135" spans="1:9" x14ac:dyDescent="0.25">
      <c r="A135" s="341" t="s">
        <v>206</v>
      </c>
      <c r="B135" s="335"/>
      <c r="C135" s="2" t="s">
        <v>144</v>
      </c>
      <c r="D135" s="3">
        <v>0</v>
      </c>
      <c r="E135" s="3">
        <v>156.38</v>
      </c>
      <c r="F135" s="3">
        <v>0</v>
      </c>
      <c r="G135" s="50">
        <v>250</v>
      </c>
      <c r="H135" s="342">
        <v>0</v>
      </c>
      <c r="I135" s="335"/>
    </row>
    <row r="136" spans="1:9" x14ac:dyDescent="0.25">
      <c r="A136" s="341" t="s">
        <v>207</v>
      </c>
      <c r="B136" s="335"/>
      <c r="C136" s="2" t="s">
        <v>208</v>
      </c>
      <c r="D136" s="3">
        <v>8678.2800000000007</v>
      </c>
      <c r="E136" s="3">
        <v>7572.93</v>
      </c>
      <c r="F136" s="3">
        <v>8108.12</v>
      </c>
      <c r="G136" s="50">
        <v>6084.37</v>
      </c>
      <c r="H136" s="342">
        <v>0</v>
      </c>
      <c r="I136" s="335"/>
    </row>
    <row r="137" spans="1:9" x14ac:dyDescent="0.25">
      <c r="A137" s="341" t="s">
        <v>209</v>
      </c>
      <c r="B137" s="335"/>
      <c r="C137" s="2" t="s">
        <v>210</v>
      </c>
      <c r="D137" s="3">
        <v>3587.08</v>
      </c>
      <c r="E137" s="3">
        <v>3587.08</v>
      </c>
      <c r="F137" s="3">
        <v>3588.76</v>
      </c>
      <c r="G137" s="50">
        <v>2935.68</v>
      </c>
      <c r="H137" s="342">
        <v>0</v>
      </c>
      <c r="I137" s="335"/>
    </row>
    <row r="138" spans="1:9" x14ac:dyDescent="0.25">
      <c r="A138" s="341" t="s">
        <v>211</v>
      </c>
      <c r="B138" s="335"/>
      <c r="C138" s="2" t="s">
        <v>62</v>
      </c>
      <c r="D138" s="3">
        <v>955.53</v>
      </c>
      <c r="E138" s="3">
        <v>2179.46</v>
      </c>
      <c r="F138" s="3">
        <v>2864.69</v>
      </c>
      <c r="G138" s="50">
        <v>2993</v>
      </c>
      <c r="H138" s="342">
        <v>0</v>
      </c>
      <c r="I138" s="335"/>
    </row>
    <row r="139" spans="1:9" x14ac:dyDescent="0.25">
      <c r="A139" s="341" t="s">
        <v>212</v>
      </c>
      <c r="B139" s="335"/>
      <c r="C139" s="2" t="s">
        <v>213</v>
      </c>
      <c r="D139" s="3">
        <v>3152.05</v>
      </c>
      <c r="E139" s="3">
        <v>3447.16</v>
      </c>
      <c r="F139" s="3">
        <v>4077.04</v>
      </c>
      <c r="G139" s="50">
        <v>3425.93</v>
      </c>
      <c r="H139" s="342">
        <v>0</v>
      </c>
      <c r="I139" s="335"/>
    </row>
    <row r="140" spans="1:9" x14ac:dyDescent="0.25">
      <c r="A140" s="341" t="s">
        <v>214</v>
      </c>
      <c r="B140" s="335"/>
      <c r="C140" s="2" t="s">
        <v>215</v>
      </c>
      <c r="D140" s="3">
        <v>12102.63</v>
      </c>
      <c r="E140" s="3">
        <v>10369.51</v>
      </c>
      <c r="F140" s="3">
        <v>12006.41</v>
      </c>
      <c r="G140" s="50">
        <v>8630.68</v>
      </c>
      <c r="H140" s="342">
        <v>0</v>
      </c>
      <c r="I140" s="335"/>
    </row>
    <row r="141" spans="1:9" x14ac:dyDescent="0.25">
      <c r="A141" s="341" t="s">
        <v>216</v>
      </c>
      <c r="B141" s="335"/>
      <c r="C141" s="2" t="s">
        <v>217</v>
      </c>
      <c r="D141" s="3">
        <v>1841.08</v>
      </c>
      <c r="E141" s="3">
        <v>3147.25</v>
      </c>
      <c r="F141" s="3">
        <v>2997</v>
      </c>
      <c r="G141" s="50">
        <v>2160.1799999999998</v>
      </c>
      <c r="H141" s="342">
        <v>0</v>
      </c>
      <c r="I141" s="335"/>
    </row>
    <row r="142" spans="1:9" x14ac:dyDescent="0.25">
      <c r="A142" s="341" t="s">
        <v>218</v>
      </c>
      <c r="B142" s="335"/>
      <c r="C142" s="2" t="s">
        <v>219</v>
      </c>
      <c r="D142" s="3">
        <v>0</v>
      </c>
      <c r="E142" s="3">
        <v>0</v>
      </c>
      <c r="F142" s="3">
        <v>8149.89</v>
      </c>
      <c r="G142" s="50">
        <v>0</v>
      </c>
      <c r="H142" s="342">
        <v>0</v>
      </c>
      <c r="I142" s="335"/>
    </row>
    <row r="143" spans="1:9" x14ac:dyDescent="0.25">
      <c r="A143" s="341" t="s">
        <v>220</v>
      </c>
      <c r="B143" s="335"/>
      <c r="C143" s="2" t="s">
        <v>221</v>
      </c>
      <c r="D143" s="3">
        <v>4687.3900000000003</v>
      </c>
      <c r="E143" s="3">
        <v>3054.51</v>
      </c>
      <c r="F143" s="3">
        <v>15391.55</v>
      </c>
      <c r="G143" s="50">
        <v>7399.47</v>
      </c>
      <c r="H143" s="342">
        <v>0</v>
      </c>
      <c r="I143" s="335"/>
    </row>
    <row r="144" spans="1:9" x14ac:dyDescent="0.25">
      <c r="A144" s="341" t="s">
        <v>222</v>
      </c>
      <c r="B144" s="335"/>
      <c r="C144" s="2" t="s">
        <v>223</v>
      </c>
      <c r="D144" s="3">
        <v>3000</v>
      </c>
      <c r="E144" s="3">
        <v>3000</v>
      </c>
      <c r="F144" s="3">
        <v>3000</v>
      </c>
      <c r="G144" s="50">
        <v>3000</v>
      </c>
      <c r="H144" s="342">
        <v>0</v>
      </c>
      <c r="I144" s="335"/>
    </row>
    <row r="145" spans="1:9" ht="24" x14ac:dyDescent="0.25">
      <c r="A145" s="341" t="s">
        <v>224</v>
      </c>
      <c r="B145" s="335"/>
      <c r="C145" s="2" t="s">
        <v>225</v>
      </c>
      <c r="D145" s="3">
        <v>0</v>
      </c>
      <c r="E145" s="3">
        <v>0</v>
      </c>
      <c r="F145" s="3">
        <v>0</v>
      </c>
      <c r="G145" s="50">
        <v>0</v>
      </c>
      <c r="H145" s="342">
        <v>0</v>
      </c>
      <c r="I145" s="335"/>
    </row>
    <row r="146" spans="1:9" x14ac:dyDescent="0.25">
      <c r="A146" s="341" t="s">
        <v>226</v>
      </c>
      <c r="B146" s="335"/>
      <c r="C146" s="2" t="s">
        <v>227</v>
      </c>
      <c r="D146" s="3">
        <v>8000</v>
      </c>
      <c r="E146" s="3">
        <v>8000</v>
      </c>
      <c r="F146" s="3">
        <v>8000</v>
      </c>
      <c r="G146" s="50">
        <v>10000</v>
      </c>
      <c r="H146" s="342">
        <v>0</v>
      </c>
      <c r="I146" s="335"/>
    </row>
    <row r="147" spans="1:9" x14ac:dyDescent="0.25">
      <c r="A147" s="341" t="s">
        <v>228</v>
      </c>
      <c r="B147" s="335"/>
      <c r="C147" s="2" t="s">
        <v>229</v>
      </c>
      <c r="D147" s="3">
        <v>0</v>
      </c>
      <c r="E147" s="3">
        <v>0</v>
      </c>
      <c r="F147" s="3">
        <v>0</v>
      </c>
      <c r="G147" s="50">
        <v>0</v>
      </c>
      <c r="H147" s="342">
        <v>0</v>
      </c>
      <c r="I147" s="335"/>
    </row>
    <row r="148" spans="1:9" ht="24" x14ac:dyDescent="0.25">
      <c r="A148" s="341" t="s">
        <v>230</v>
      </c>
      <c r="B148" s="335"/>
      <c r="C148" s="2" t="s">
        <v>231</v>
      </c>
      <c r="D148" s="3">
        <v>26804.77</v>
      </c>
      <c r="E148" s="3">
        <v>28127.99</v>
      </c>
      <c r="F148" s="3">
        <v>19976.41</v>
      </c>
      <c r="G148" s="50">
        <v>0</v>
      </c>
      <c r="H148" s="342">
        <v>0</v>
      </c>
      <c r="I148" s="335"/>
    </row>
    <row r="149" spans="1:9" x14ac:dyDescent="0.25">
      <c r="A149" s="341" t="s">
        <v>232</v>
      </c>
      <c r="B149" s="335"/>
      <c r="C149" s="2" t="s">
        <v>233</v>
      </c>
      <c r="D149" s="3">
        <v>1576.38</v>
      </c>
      <c r="E149" s="3">
        <v>1053.73</v>
      </c>
      <c r="F149" s="3">
        <v>355.84</v>
      </c>
      <c r="G149" s="50">
        <v>526.94000000000005</v>
      </c>
      <c r="H149" s="342">
        <v>0</v>
      </c>
      <c r="I149" s="335"/>
    </row>
    <row r="150" spans="1:9" x14ac:dyDescent="0.25">
      <c r="A150" s="341" t="s">
        <v>234</v>
      </c>
      <c r="B150" s="335"/>
      <c r="C150" s="2" t="s">
        <v>235</v>
      </c>
      <c r="D150" s="3">
        <v>8334</v>
      </c>
      <c r="E150" s="3">
        <v>8752</v>
      </c>
      <c r="F150" s="3">
        <v>8752</v>
      </c>
      <c r="G150" s="50">
        <v>13637</v>
      </c>
      <c r="H150" s="342">
        <v>0</v>
      </c>
      <c r="I150" s="335"/>
    </row>
    <row r="151" spans="1:9" x14ac:dyDescent="0.25">
      <c r="A151" s="341" t="s">
        <v>236</v>
      </c>
      <c r="B151" s="335"/>
      <c r="C151" s="2" t="s">
        <v>237</v>
      </c>
      <c r="D151" s="3">
        <v>9681</v>
      </c>
      <c r="E151" s="3">
        <v>10415</v>
      </c>
      <c r="F151" s="3">
        <v>10749</v>
      </c>
      <c r="G151" s="50">
        <v>11470</v>
      </c>
      <c r="H151" s="342">
        <v>0</v>
      </c>
      <c r="I151" s="335"/>
    </row>
    <row r="152" spans="1:9" x14ac:dyDescent="0.25">
      <c r="A152" s="341" t="s">
        <v>238</v>
      </c>
      <c r="B152" s="335"/>
      <c r="C152" s="2" t="s">
        <v>239</v>
      </c>
      <c r="D152" s="3">
        <v>1099.23</v>
      </c>
      <c r="E152" s="3">
        <v>568.04</v>
      </c>
      <c r="F152" s="3">
        <v>1098.0899999999999</v>
      </c>
      <c r="G152" s="50">
        <v>1097.68</v>
      </c>
      <c r="H152" s="342">
        <v>0</v>
      </c>
      <c r="I152" s="335"/>
    </row>
    <row r="153" spans="1:9" x14ac:dyDescent="0.25">
      <c r="A153" s="341" t="s">
        <v>240</v>
      </c>
      <c r="B153" s="335"/>
      <c r="C153" s="2" t="s">
        <v>241</v>
      </c>
      <c r="D153" s="3">
        <v>150</v>
      </c>
      <c r="E153" s="3">
        <v>0</v>
      </c>
      <c r="F153" s="3">
        <v>100</v>
      </c>
      <c r="G153" s="50">
        <v>0</v>
      </c>
      <c r="H153" s="342">
        <v>0</v>
      </c>
      <c r="I153" s="335"/>
    </row>
    <row r="154" spans="1:9" x14ac:dyDescent="0.25">
      <c r="A154" s="341" t="s">
        <v>242</v>
      </c>
      <c r="B154" s="335"/>
      <c r="C154" s="2" t="s">
        <v>243</v>
      </c>
      <c r="D154" s="3">
        <v>4000</v>
      </c>
      <c r="E154" s="3">
        <v>4000</v>
      </c>
      <c r="F154" s="3">
        <v>4000</v>
      </c>
      <c r="G154" s="50">
        <v>4000</v>
      </c>
      <c r="H154" s="342">
        <v>0</v>
      </c>
      <c r="I154" s="335"/>
    </row>
    <row r="155" spans="1:9" ht="24" x14ac:dyDescent="0.25">
      <c r="A155" s="341" t="s">
        <v>244</v>
      </c>
      <c r="B155" s="335"/>
      <c r="C155" s="2" t="s">
        <v>245</v>
      </c>
      <c r="D155" s="3">
        <v>24011.3</v>
      </c>
      <c r="E155" s="3">
        <v>19951.36</v>
      </c>
      <c r="F155" s="3">
        <v>15022.46</v>
      </c>
      <c r="G155" s="50">
        <v>11485.38</v>
      </c>
      <c r="H155" s="342">
        <v>0</v>
      </c>
      <c r="I155" s="335"/>
    </row>
    <row r="156" spans="1:9" x14ac:dyDescent="0.25">
      <c r="A156" s="341" t="s">
        <v>3282</v>
      </c>
      <c r="B156" s="335"/>
      <c r="C156" s="2" t="s">
        <v>3281</v>
      </c>
      <c r="D156" s="3">
        <v>0</v>
      </c>
      <c r="E156" s="3">
        <v>0</v>
      </c>
      <c r="F156" s="3">
        <v>0</v>
      </c>
      <c r="G156" s="50">
        <v>0</v>
      </c>
      <c r="H156" s="342">
        <v>0</v>
      </c>
      <c r="I156" s="335"/>
    </row>
    <row r="157" spans="1:9" ht="24" x14ac:dyDescent="0.25">
      <c r="A157" s="341" t="s">
        <v>3280</v>
      </c>
      <c r="B157" s="335"/>
      <c r="C157" s="2" t="s">
        <v>3279</v>
      </c>
      <c r="D157" s="3">
        <v>0</v>
      </c>
      <c r="E157" s="3">
        <v>0</v>
      </c>
      <c r="F157" s="3">
        <v>0</v>
      </c>
      <c r="G157" s="50">
        <v>0</v>
      </c>
      <c r="H157" s="342">
        <v>0</v>
      </c>
      <c r="I157" s="335"/>
    </row>
    <row r="158" spans="1:9" x14ac:dyDescent="0.25">
      <c r="A158" s="341" t="s">
        <v>246</v>
      </c>
      <c r="B158" s="335"/>
      <c r="C158" s="2" t="s">
        <v>247</v>
      </c>
      <c r="D158" s="3">
        <v>32670</v>
      </c>
      <c r="E158" s="3">
        <v>32470</v>
      </c>
      <c r="F158" s="3">
        <v>32570</v>
      </c>
      <c r="G158" s="50">
        <v>8105</v>
      </c>
      <c r="H158" s="342">
        <v>0</v>
      </c>
      <c r="I158" s="335"/>
    </row>
    <row r="159" spans="1:9" x14ac:dyDescent="0.25">
      <c r="A159" s="341" t="s">
        <v>248</v>
      </c>
      <c r="B159" s="335"/>
      <c r="C159" s="2" t="s">
        <v>249</v>
      </c>
      <c r="D159" s="3">
        <v>5000</v>
      </c>
      <c r="E159" s="3">
        <v>10000</v>
      </c>
      <c r="F159" s="3">
        <v>5000</v>
      </c>
      <c r="G159" s="50">
        <v>10000</v>
      </c>
      <c r="H159" s="342">
        <v>0</v>
      </c>
      <c r="I159" s="335"/>
    </row>
    <row r="160" spans="1:9" ht="24" x14ac:dyDescent="0.25">
      <c r="A160" s="341" t="s">
        <v>250</v>
      </c>
      <c r="B160" s="335"/>
      <c r="C160" s="2" t="s">
        <v>251</v>
      </c>
      <c r="D160" s="3">
        <v>3000</v>
      </c>
      <c r="E160" s="3">
        <v>20000</v>
      </c>
      <c r="F160" s="3">
        <v>1080</v>
      </c>
      <c r="G160" s="50">
        <v>2291.59</v>
      </c>
      <c r="H160" s="342">
        <v>0</v>
      </c>
      <c r="I160" s="335"/>
    </row>
    <row r="161" spans="1:9" x14ac:dyDescent="0.25">
      <c r="A161" s="341" t="s">
        <v>252</v>
      </c>
      <c r="B161" s="335"/>
      <c r="C161" s="2" t="s">
        <v>253</v>
      </c>
      <c r="D161" s="3">
        <v>0</v>
      </c>
      <c r="E161" s="3">
        <v>0</v>
      </c>
      <c r="F161" s="3">
        <v>0</v>
      </c>
      <c r="G161" s="50">
        <v>3000</v>
      </c>
      <c r="H161" s="342">
        <v>0</v>
      </c>
      <c r="I161" s="335"/>
    </row>
    <row r="162" spans="1:9" ht="24" x14ac:dyDescent="0.25">
      <c r="A162" s="341" t="s">
        <v>254</v>
      </c>
      <c r="B162" s="335"/>
      <c r="C162" s="2" t="s">
        <v>255</v>
      </c>
      <c r="D162" s="3">
        <v>0</v>
      </c>
      <c r="E162" s="3">
        <v>0</v>
      </c>
      <c r="F162" s="3">
        <v>2500</v>
      </c>
      <c r="G162" s="50">
        <v>2500</v>
      </c>
      <c r="H162" s="342">
        <v>0</v>
      </c>
      <c r="I162" s="335"/>
    </row>
    <row r="163" spans="1:9" x14ac:dyDescent="0.25">
      <c r="A163" s="341" t="s">
        <v>256</v>
      </c>
      <c r="B163" s="335"/>
      <c r="C163" s="2" t="s">
        <v>257</v>
      </c>
      <c r="D163" s="3">
        <v>0</v>
      </c>
      <c r="E163" s="3">
        <v>0</v>
      </c>
      <c r="F163" s="3">
        <v>1000</v>
      </c>
      <c r="G163" s="50">
        <v>3000</v>
      </c>
      <c r="H163" s="342">
        <v>0</v>
      </c>
      <c r="I163" s="335"/>
    </row>
    <row r="164" spans="1:9" x14ac:dyDescent="0.25">
      <c r="A164" s="341" t="s">
        <v>258</v>
      </c>
      <c r="B164" s="335"/>
      <c r="C164" s="2" t="s">
        <v>259</v>
      </c>
      <c r="D164" s="3">
        <v>0</v>
      </c>
      <c r="E164" s="3">
        <v>0</v>
      </c>
      <c r="F164" s="3">
        <v>5000</v>
      </c>
      <c r="G164" s="50">
        <v>6329</v>
      </c>
      <c r="H164" s="342">
        <v>0</v>
      </c>
      <c r="I164" s="335"/>
    </row>
    <row r="165" spans="1:9" x14ac:dyDescent="0.25">
      <c r="A165" s="341" t="s">
        <v>260</v>
      </c>
      <c r="B165" s="335"/>
      <c r="C165" s="2" t="s">
        <v>261</v>
      </c>
      <c r="D165" s="3">
        <v>0</v>
      </c>
      <c r="E165" s="3">
        <v>0</v>
      </c>
      <c r="F165" s="3">
        <v>0</v>
      </c>
      <c r="G165" s="50">
        <v>5000</v>
      </c>
      <c r="H165" s="342">
        <v>0</v>
      </c>
      <c r="I165" s="335"/>
    </row>
    <row r="166" spans="1:9" ht="24" x14ac:dyDescent="0.25">
      <c r="A166" s="341" t="s">
        <v>262</v>
      </c>
      <c r="B166" s="335"/>
      <c r="C166" s="2" t="s">
        <v>263</v>
      </c>
      <c r="D166" s="3">
        <v>0</v>
      </c>
      <c r="E166" s="3">
        <v>0</v>
      </c>
      <c r="F166" s="3">
        <v>0</v>
      </c>
      <c r="G166" s="50">
        <v>3140</v>
      </c>
      <c r="H166" s="342">
        <v>0</v>
      </c>
      <c r="I166" s="335"/>
    </row>
    <row r="167" spans="1:9" ht="24" x14ac:dyDescent="0.25">
      <c r="A167" s="341" t="s">
        <v>264</v>
      </c>
      <c r="B167" s="335"/>
      <c r="C167" s="2" t="s">
        <v>265</v>
      </c>
      <c r="D167" s="3">
        <v>69210.960000000006</v>
      </c>
      <c r="E167" s="3">
        <v>71287.320000000007</v>
      </c>
      <c r="F167" s="3">
        <v>73564.679999999993</v>
      </c>
      <c r="G167" s="50">
        <v>50561.279999999999</v>
      </c>
      <c r="H167" s="342">
        <v>0</v>
      </c>
      <c r="I167" s="335"/>
    </row>
    <row r="168" spans="1:9" x14ac:dyDescent="0.25">
      <c r="A168" s="341" t="s">
        <v>266</v>
      </c>
      <c r="B168" s="335"/>
      <c r="C168" s="2" t="s">
        <v>267</v>
      </c>
      <c r="D168" s="3">
        <v>0</v>
      </c>
      <c r="E168" s="3">
        <v>3500</v>
      </c>
      <c r="F168" s="3">
        <v>3500</v>
      </c>
      <c r="G168" s="50">
        <v>0</v>
      </c>
      <c r="H168" s="342">
        <v>0</v>
      </c>
      <c r="I168" s="335"/>
    </row>
    <row r="169" spans="1:9" ht="24" x14ac:dyDescent="0.25">
      <c r="A169" s="341" t="s">
        <v>268</v>
      </c>
      <c r="B169" s="335"/>
      <c r="C169" s="2" t="s">
        <v>269</v>
      </c>
      <c r="D169" s="3">
        <v>5000</v>
      </c>
      <c r="E169" s="3">
        <v>5000</v>
      </c>
      <c r="F169" s="3">
        <v>0</v>
      </c>
      <c r="G169" s="50">
        <v>0</v>
      </c>
      <c r="H169" s="342">
        <v>0</v>
      </c>
      <c r="I169" s="335"/>
    </row>
    <row r="170" spans="1:9" ht="24" x14ac:dyDescent="0.25">
      <c r="A170" s="341" t="s">
        <v>270</v>
      </c>
      <c r="B170" s="335"/>
      <c r="C170" s="2" t="s">
        <v>271</v>
      </c>
      <c r="D170" s="3">
        <v>0</v>
      </c>
      <c r="E170" s="3">
        <v>0</v>
      </c>
      <c r="F170" s="3">
        <v>0</v>
      </c>
      <c r="G170" s="50">
        <v>0</v>
      </c>
      <c r="H170" s="342">
        <v>0</v>
      </c>
      <c r="I170" s="335"/>
    </row>
    <row r="171" spans="1:9" x14ac:dyDescent="0.25">
      <c r="A171" s="341" t="s">
        <v>272</v>
      </c>
      <c r="B171" s="335"/>
      <c r="C171" s="2" t="s">
        <v>273</v>
      </c>
      <c r="D171" s="3">
        <v>0</v>
      </c>
      <c r="E171" s="3">
        <v>0</v>
      </c>
      <c r="F171" s="3">
        <v>0</v>
      </c>
      <c r="G171" s="50">
        <v>2500</v>
      </c>
      <c r="H171" s="342">
        <v>0</v>
      </c>
      <c r="I171" s="335"/>
    </row>
    <row r="172" spans="1:9" x14ac:dyDescent="0.25">
      <c r="A172" s="341" t="s">
        <v>274</v>
      </c>
      <c r="B172" s="335"/>
      <c r="C172" s="2" t="s">
        <v>275</v>
      </c>
      <c r="D172" s="3">
        <v>15000</v>
      </c>
      <c r="E172" s="3">
        <v>0</v>
      </c>
      <c r="F172" s="3">
        <v>0</v>
      </c>
      <c r="G172" s="3">
        <v>0</v>
      </c>
      <c r="H172" s="342">
        <v>0</v>
      </c>
      <c r="I172" s="335"/>
    </row>
    <row r="173" spans="1:9" x14ac:dyDescent="0.25">
      <c r="A173" s="341" t="s">
        <v>278</v>
      </c>
      <c r="B173" s="335"/>
      <c r="C173" s="2" t="s">
        <v>279</v>
      </c>
      <c r="D173" s="3">
        <v>126395.24</v>
      </c>
      <c r="E173" s="3">
        <v>135216.15</v>
      </c>
      <c r="F173" s="3">
        <v>144163.46</v>
      </c>
      <c r="G173" s="50">
        <v>113954.14</v>
      </c>
      <c r="H173" s="342">
        <v>0</v>
      </c>
      <c r="I173" s="335"/>
    </row>
    <row r="174" spans="1:9" x14ac:dyDescent="0.25">
      <c r="A174" s="341" t="s">
        <v>280</v>
      </c>
      <c r="B174" s="335"/>
      <c r="C174" s="2" t="s">
        <v>29</v>
      </c>
      <c r="D174" s="3">
        <v>27528.240000000002</v>
      </c>
      <c r="E174" s="3">
        <v>27569.42</v>
      </c>
      <c r="F174" s="3">
        <v>28576.01</v>
      </c>
      <c r="G174" s="50">
        <v>23805.82</v>
      </c>
      <c r="H174" s="342">
        <v>0</v>
      </c>
      <c r="I174" s="335"/>
    </row>
    <row r="175" spans="1:9" x14ac:dyDescent="0.25">
      <c r="A175" s="341" t="s">
        <v>281</v>
      </c>
      <c r="B175" s="335"/>
      <c r="C175" s="2" t="s">
        <v>31</v>
      </c>
      <c r="D175" s="3">
        <v>267.25</v>
      </c>
      <c r="E175" s="3">
        <v>252.02</v>
      </c>
      <c r="F175" s="3">
        <v>251.3</v>
      </c>
      <c r="G175" s="50">
        <v>185.01</v>
      </c>
      <c r="H175" s="342">
        <v>0</v>
      </c>
      <c r="I175" s="335"/>
    </row>
    <row r="176" spans="1:9" x14ac:dyDescent="0.25">
      <c r="A176" s="341" t="s">
        <v>282</v>
      </c>
      <c r="B176" s="335"/>
      <c r="C176" s="2" t="s">
        <v>33</v>
      </c>
      <c r="D176" s="3">
        <v>9108.58</v>
      </c>
      <c r="E176" s="3">
        <v>9470.66</v>
      </c>
      <c r="F176" s="3">
        <v>9896.74</v>
      </c>
      <c r="G176" s="50">
        <v>7939.6</v>
      </c>
      <c r="H176" s="342">
        <v>0</v>
      </c>
      <c r="I176" s="335"/>
    </row>
    <row r="177" spans="1:9" x14ac:dyDescent="0.25">
      <c r="A177" s="341" t="s">
        <v>283</v>
      </c>
      <c r="B177" s="335"/>
      <c r="C177" s="2" t="s">
        <v>11</v>
      </c>
      <c r="D177" s="3">
        <v>9638.49</v>
      </c>
      <c r="E177" s="3">
        <v>10196</v>
      </c>
      <c r="F177" s="3">
        <v>11056.44</v>
      </c>
      <c r="G177" s="50">
        <v>8726.44</v>
      </c>
      <c r="H177" s="342">
        <v>0</v>
      </c>
      <c r="I177" s="335"/>
    </row>
    <row r="178" spans="1:9" x14ac:dyDescent="0.25">
      <c r="A178" s="341" t="s">
        <v>284</v>
      </c>
      <c r="B178" s="335"/>
      <c r="C178" s="2" t="s">
        <v>13</v>
      </c>
      <c r="D178" s="3">
        <v>175.49</v>
      </c>
      <c r="E178" s="3">
        <v>205.76</v>
      </c>
      <c r="F178" s="3">
        <v>209.44</v>
      </c>
      <c r="G178" s="50">
        <v>245.3</v>
      </c>
      <c r="H178" s="342">
        <v>0</v>
      </c>
      <c r="I178" s="335"/>
    </row>
    <row r="179" spans="1:9" x14ac:dyDescent="0.25">
      <c r="A179" s="341" t="s">
        <v>285</v>
      </c>
      <c r="B179" s="335"/>
      <c r="C179" s="2" t="s">
        <v>286</v>
      </c>
      <c r="D179" s="3">
        <v>900</v>
      </c>
      <c r="E179" s="3">
        <v>1000</v>
      </c>
      <c r="F179" s="3">
        <v>500</v>
      </c>
      <c r="G179" s="50">
        <v>1250</v>
      </c>
      <c r="H179" s="342">
        <v>0</v>
      </c>
      <c r="I179" s="335"/>
    </row>
    <row r="180" spans="1:9" x14ac:dyDescent="0.25">
      <c r="A180" s="341" t="s">
        <v>287</v>
      </c>
      <c r="B180" s="335"/>
      <c r="C180" s="2" t="s">
        <v>17</v>
      </c>
      <c r="D180" s="3">
        <v>0</v>
      </c>
      <c r="E180" s="3">
        <v>0</v>
      </c>
      <c r="F180" s="3">
        <v>0</v>
      </c>
      <c r="G180" s="50">
        <v>948.95</v>
      </c>
      <c r="H180" s="342">
        <v>0</v>
      </c>
      <c r="I180" s="335"/>
    </row>
    <row r="181" spans="1:9" x14ac:dyDescent="0.25">
      <c r="A181" s="341" t="s">
        <v>290</v>
      </c>
      <c r="B181" s="335"/>
      <c r="C181" s="2" t="s">
        <v>291</v>
      </c>
      <c r="D181" s="3">
        <v>3113.71</v>
      </c>
      <c r="E181" s="3">
        <v>6136.96</v>
      </c>
      <c r="F181" s="3">
        <v>2565.69</v>
      </c>
      <c r="G181" s="50">
        <v>2465.92</v>
      </c>
      <c r="H181" s="342">
        <v>0</v>
      </c>
      <c r="I181" s="335"/>
    </row>
    <row r="182" spans="1:9" x14ac:dyDescent="0.25">
      <c r="A182" s="341" t="s">
        <v>292</v>
      </c>
      <c r="B182" s="335"/>
      <c r="C182" s="2" t="s">
        <v>293</v>
      </c>
      <c r="D182" s="3">
        <v>908.2</v>
      </c>
      <c r="E182" s="3">
        <v>1339.18</v>
      </c>
      <c r="F182" s="3">
        <v>618.15</v>
      </c>
      <c r="G182" s="50">
        <v>707.44</v>
      </c>
      <c r="H182" s="342">
        <v>0</v>
      </c>
      <c r="I182" s="335"/>
    </row>
    <row r="183" spans="1:9" x14ac:dyDescent="0.25">
      <c r="A183" s="341" t="s">
        <v>294</v>
      </c>
      <c r="B183" s="335"/>
      <c r="C183" s="2" t="s">
        <v>295</v>
      </c>
      <c r="D183" s="3">
        <v>4.26</v>
      </c>
      <c r="E183" s="3">
        <v>9.02</v>
      </c>
      <c r="F183" s="3">
        <v>3.77</v>
      </c>
      <c r="G183" s="50">
        <v>5.25</v>
      </c>
      <c r="H183" s="342">
        <v>0</v>
      </c>
      <c r="I183" s="335"/>
    </row>
    <row r="184" spans="1:9" x14ac:dyDescent="0.25">
      <c r="A184" s="341" t="s">
        <v>296</v>
      </c>
      <c r="B184" s="335"/>
      <c r="C184" s="2" t="s">
        <v>297</v>
      </c>
      <c r="D184" s="3">
        <v>78.94</v>
      </c>
      <c r="E184" s="3">
        <v>142.38999999999999</v>
      </c>
      <c r="F184" s="3">
        <v>57.91</v>
      </c>
      <c r="G184" s="50">
        <v>42.18</v>
      </c>
      <c r="H184" s="342">
        <v>0</v>
      </c>
      <c r="I184" s="335"/>
    </row>
    <row r="185" spans="1:9" x14ac:dyDescent="0.25">
      <c r="A185" s="341" t="s">
        <v>298</v>
      </c>
      <c r="B185" s="335"/>
      <c r="C185" s="2" t="s">
        <v>299</v>
      </c>
      <c r="D185" s="3">
        <v>450.74</v>
      </c>
      <c r="E185" s="3">
        <v>856.56</v>
      </c>
      <c r="F185" s="3">
        <v>355.5</v>
      </c>
      <c r="G185" s="50">
        <v>280.41000000000003</v>
      </c>
      <c r="H185" s="342">
        <v>0</v>
      </c>
      <c r="I185" s="335"/>
    </row>
    <row r="186" spans="1:9" x14ac:dyDescent="0.25">
      <c r="A186" s="341" t="s">
        <v>300</v>
      </c>
      <c r="B186" s="335"/>
      <c r="C186" s="2" t="s">
        <v>301</v>
      </c>
      <c r="D186" s="3">
        <v>234.53</v>
      </c>
      <c r="E186" s="3">
        <v>462.76</v>
      </c>
      <c r="F186" s="3">
        <v>193.72</v>
      </c>
      <c r="G186" s="50">
        <v>185.28</v>
      </c>
      <c r="H186" s="342">
        <v>0</v>
      </c>
      <c r="I186" s="335"/>
    </row>
    <row r="187" spans="1:9" x14ac:dyDescent="0.25">
      <c r="A187" s="341" t="s">
        <v>302</v>
      </c>
      <c r="B187" s="335"/>
      <c r="C187" s="2" t="s">
        <v>303</v>
      </c>
      <c r="D187" s="3">
        <v>2110.66</v>
      </c>
      <c r="E187" s="3">
        <v>2221.4899999999998</v>
      </c>
      <c r="F187" s="3">
        <v>3628.9</v>
      </c>
      <c r="G187" s="50">
        <v>3664.2</v>
      </c>
      <c r="H187" s="342">
        <v>0</v>
      </c>
      <c r="I187" s="335"/>
    </row>
    <row r="188" spans="1:9" x14ac:dyDescent="0.25">
      <c r="A188" s="341" t="s">
        <v>304</v>
      </c>
      <c r="B188" s="335"/>
      <c r="C188" s="2" t="s">
        <v>305</v>
      </c>
      <c r="D188" s="3">
        <v>32385.5</v>
      </c>
      <c r="E188" s="3">
        <v>33803.82</v>
      </c>
      <c r="F188" s="3">
        <v>35381.199999999997</v>
      </c>
      <c r="G188" s="50">
        <v>23003.73</v>
      </c>
      <c r="H188" s="342">
        <v>0</v>
      </c>
      <c r="I188" s="335"/>
    </row>
    <row r="189" spans="1:9" x14ac:dyDescent="0.25">
      <c r="A189" s="341" t="s">
        <v>306</v>
      </c>
      <c r="B189" s="335"/>
      <c r="C189" s="2" t="s">
        <v>307</v>
      </c>
      <c r="D189" s="3">
        <v>6014.27</v>
      </c>
      <c r="E189" s="3">
        <v>8244.4599999999991</v>
      </c>
      <c r="F189" s="3">
        <v>9577.26</v>
      </c>
      <c r="G189" s="50">
        <v>3795.64</v>
      </c>
      <c r="H189" s="342">
        <v>0</v>
      </c>
      <c r="I189" s="335"/>
    </row>
    <row r="190" spans="1:9" ht="36" x14ac:dyDescent="0.25">
      <c r="A190" s="341" t="s">
        <v>308</v>
      </c>
      <c r="B190" s="335"/>
      <c r="C190" s="2" t="s">
        <v>309</v>
      </c>
      <c r="D190" s="3">
        <v>-17000</v>
      </c>
      <c r="E190" s="3">
        <v>0</v>
      </c>
      <c r="F190" s="3">
        <v>0</v>
      </c>
      <c r="G190" s="50">
        <v>0</v>
      </c>
      <c r="H190" s="342">
        <v>0</v>
      </c>
      <c r="I190" s="335"/>
    </row>
    <row r="191" spans="1:9" ht="24" x14ac:dyDescent="0.25">
      <c r="A191" s="341" t="s">
        <v>310</v>
      </c>
      <c r="B191" s="335"/>
      <c r="C191" s="2" t="s">
        <v>311</v>
      </c>
      <c r="D191" s="3">
        <v>12746.53</v>
      </c>
      <c r="E191" s="3">
        <v>15605.11</v>
      </c>
      <c r="F191" s="3">
        <v>14708.23</v>
      </c>
      <c r="G191" s="50">
        <v>10343.31</v>
      </c>
      <c r="H191" s="342">
        <v>0</v>
      </c>
      <c r="I191" s="335"/>
    </row>
    <row r="192" spans="1:9" ht="24" x14ac:dyDescent="0.25">
      <c r="A192" s="341" t="s">
        <v>312</v>
      </c>
      <c r="B192" s="335"/>
      <c r="C192" s="2" t="s">
        <v>313</v>
      </c>
      <c r="D192" s="3">
        <v>25306.37</v>
      </c>
      <c r="E192" s="3">
        <v>26656.83</v>
      </c>
      <c r="F192" s="3">
        <v>41530.550000000003</v>
      </c>
      <c r="G192" s="50">
        <v>26759.16</v>
      </c>
      <c r="H192" s="342">
        <v>0</v>
      </c>
      <c r="I192" s="335"/>
    </row>
    <row r="193" spans="1:9" x14ac:dyDescent="0.25">
      <c r="A193" s="340" t="s">
        <v>3242</v>
      </c>
      <c r="B193" s="335"/>
      <c r="C193" s="1" t="s">
        <v>2</v>
      </c>
    </row>
    <row r="194" spans="1:9" x14ac:dyDescent="0.25">
      <c r="A194" s="341" t="s">
        <v>316</v>
      </c>
      <c r="B194" s="335"/>
      <c r="C194" s="2" t="s">
        <v>317</v>
      </c>
      <c r="D194" s="3">
        <v>122093.98</v>
      </c>
      <c r="E194" s="3">
        <v>107879.58</v>
      </c>
      <c r="F194" s="3">
        <v>127789.15</v>
      </c>
      <c r="G194" s="50">
        <v>156939.03</v>
      </c>
      <c r="H194" s="342">
        <v>0</v>
      </c>
      <c r="I194" s="335"/>
    </row>
    <row r="195" spans="1:9" x14ac:dyDescent="0.25">
      <c r="A195" s="341" t="s">
        <v>318</v>
      </c>
      <c r="B195" s="335"/>
      <c r="C195" s="2" t="s">
        <v>319</v>
      </c>
      <c r="D195" s="3">
        <v>173963.04</v>
      </c>
      <c r="E195" s="3">
        <v>221611.38</v>
      </c>
      <c r="F195" s="3">
        <v>229065.14</v>
      </c>
      <c r="G195" s="50">
        <v>213235.33</v>
      </c>
      <c r="H195" s="342">
        <v>0</v>
      </c>
      <c r="I195" s="335"/>
    </row>
    <row r="196" spans="1:9" x14ac:dyDescent="0.25">
      <c r="A196" s="341" t="s">
        <v>320</v>
      </c>
      <c r="B196" s="335"/>
      <c r="C196" s="2" t="s">
        <v>321</v>
      </c>
      <c r="D196" s="3">
        <v>1713067.87</v>
      </c>
      <c r="E196" s="3">
        <v>1833791.15</v>
      </c>
      <c r="F196" s="3">
        <v>1974062.23</v>
      </c>
      <c r="G196" s="50">
        <v>1619266.22</v>
      </c>
      <c r="H196" s="342">
        <v>0</v>
      </c>
      <c r="I196" s="335"/>
    </row>
    <row r="197" spans="1:9" ht="24" x14ac:dyDescent="0.25">
      <c r="A197" s="341" t="s">
        <v>322</v>
      </c>
      <c r="B197" s="335"/>
      <c r="C197" s="2" t="s">
        <v>323</v>
      </c>
      <c r="D197" s="3">
        <v>29136.95</v>
      </c>
      <c r="E197" s="3">
        <v>26016</v>
      </c>
      <c r="F197" s="3">
        <v>21219.14</v>
      </c>
      <c r="G197" s="50">
        <v>25544.07</v>
      </c>
      <c r="H197" s="342">
        <v>0</v>
      </c>
      <c r="I197" s="335"/>
    </row>
    <row r="198" spans="1:9" x14ac:dyDescent="0.25">
      <c r="A198" s="341" t="s">
        <v>324</v>
      </c>
      <c r="B198" s="335"/>
      <c r="C198" s="2" t="s">
        <v>325</v>
      </c>
      <c r="D198" s="3">
        <v>3839.77</v>
      </c>
      <c r="E198" s="3">
        <v>389.36</v>
      </c>
      <c r="F198" s="3">
        <v>808.85</v>
      </c>
      <c r="G198" s="50">
        <v>0</v>
      </c>
      <c r="H198" s="342">
        <v>0</v>
      </c>
      <c r="I198" s="335"/>
    </row>
    <row r="199" spans="1:9" ht="24" x14ac:dyDescent="0.25">
      <c r="A199" s="341" t="s">
        <v>326</v>
      </c>
      <c r="B199" s="335"/>
      <c r="C199" s="2" t="s">
        <v>327</v>
      </c>
      <c r="D199" s="3">
        <v>13035.51</v>
      </c>
      <c r="E199" s="3">
        <v>4056.83</v>
      </c>
      <c r="F199" s="3">
        <v>7560.63</v>
      </c>
      <c r="G199" s="50">
        <v>2495.62</v>
      </c>
      <c r="H199" s="342">
        <v>0</v>
      </c>
      <c r="I199" s="335"/>
    </row>
    <row r="200" spans="1:9" x14ac:dyDescent="0.25">
      <c r="A200" s="340" t="s">
        <v>3241</v>
      </c>
      <c r="B200" s="335"/>
      <c r="C200" s="1" t="s">
        <v>2</v>
      </c>
      <c r="D200" s="4">
        <v>2055137.12</v>
      </c>
      <c r="E200" s="4">
        <v>2193744.2999999998</v>
      </c>
      <c r="F200" s="4">
        <v>2360505.14</v>
      </c>
      <c r="G200" s="4">
        <v>2017480.27</v>
      </c>
      <c r="H200" s="343">
        <v>0</v>
      </c>
      <c r="I200" s="335"/>
    </row>
    <row r="201" spans="1:9" x14ac:dyDescent="0.25">
      <c r="A201" s="340" t="s">
        <v>2</v>
      </c>
      <c r="B201" s="335"/>
      <c r="C201" s="1" t="s">
        <v>2</v>
      </c>
      <c r="D201" s="1" t="s">
        <v>2</v>
      </c>
      <c r="E201" s="1" t="s">
        <v>2</v>
      </c>
      <c r="F201" s="1" t="s">
        <v>2</v>
      </c>
      <c r="G201" s="1" t="s">
        <v>2</v>
      </c>
      <c r="H201" s="340" t="s">
        <v>2</v>
      </c>
      <c r="I201" s="335"/>
    </row>
    <row r="202" spans="1:9" x14ac:dyDescent="0.25">
      <c r="A202" s="341" t="s">
        <v>328</v>
      </c>
      <c r="B202" s="335"/>
      <c r="C202" s="2" t="s">
        <v>329</v>
      </c>
      <c r="D202" s="3">
        <v>427725.48</v>
      </c>
      <c r="E202" s="3">
        <v>431331.12</v>
      </c>
      <c r="F202" s="3">
        <v>474651.54</v>
      </c>
      <c r="G202" s="50">
        <v>404801.65</v>
      </c>
      <c r="H202" s="342">
        <v>0</v>
      </c>
      <c r="I202" s="335"/>
    </row>
    <row r="203" spans="1:9" x14ac:dyDescent="0.25">
      <c r="A203" s="341" t="s">
        <v>330</v>
      </c>
      <c r="B203" s="335"/>
      <c r="C203" s="2" t="s">
        <v>331</v>
      </c>
      <c r="D203" s="3">
        <v>47358.7</v>
      </c>
      <c r="E203" s="3">
        <v>48880.39</v>
      </c>
      <c r="F203" s="3">
        <v>60263.56</v>
      </c>
      <c r="G203" s="50">
        <v>37060.93</v>
      </c>
      <c r="H203" s="342">
        <v>0</v>
      </c>
      <c r="I203" s="335"/>
    </row>
    <row r="204" spans="1:9" x14ac:dyDescent="0.25">
      <c r="A204" s="341" t="s">
        <v>332</v>
      </c>
      <c r="B204" s="335"/>
      <c r="C204" s="2" t="s">
        <v>333</v>
      </c>
      <c r="D204" s="3">
        <v>110852.5</v>
      </c>
      <c r="E204" s="3">
        <v>120419.94</v>
      </c>
      <c r="F204" s="3">
        <v>129496.22</v>
      </c>
      <c r="G204" s="50">
        <v>106707.72</v>
      </c>
      <c r="H204" s="342">
        <v>0</v>
      </c>
      <c r="I204" s="335"/>
    </row>
    <row r="205" spans="1:9" x14ac:dyDescent="0.25">
      <c r="A205" s="341" t="s">
        <v>334</v>
      </c>
      <c r="B205" s="335"/>
      <c r="C205" s="2" t="s">
        <v>335</v>
      </c>
      <c r="D205" s="3">
        <v>131075.49</v>
      </c>
      <c r="E205" s="3">
        <v>140398.32</v>
      </c>
      <c r="F205" s="3">
        <v>150558.96</v>
      </c>
      <c r="G205" s="50">
        <v>124250.81</v>
      </c>
      <c r="H205" s="342">
        <v>0</v>
      </c>
      <c r="I205" s="335"/>
    </row>
    <row r="206" spans="1:9" ht="24" x14ac:dyDescent="0.25">
      <c r="A206" s="341" t="s">
        <v>336</v>
      </c>
      <c r="B206" s="335"/>
      <c r="C206" s="2" t="s">
        <v>337</v>
      </c>
      <c r="D206" s="3">
        <v>5381.26</v>
      </c>
      <c r="E206" s="3">
        <v>540.91</v>
      </c>
      <c r="F206" s="3">
        <v>159.99</v>
      </c>
      <c r="G206" s="50">
        <v>85.1</v>
      </c>
      <c r="H206" s="342">
        <v>0</v>
      </c>
      <c r="I206" s="335"/>
    </row>
    <row r="207" spans="1:9" x14ac:dyDescent="0.25">
      <c r="A207" s="341" t="s">
        <v>338</v>
      </c>
      <c r="B207" s="335"/>
      <c r="C207" s="2" t="s">
        <v>339</v>
      </c>
      <c r="D207" s="3">
        <v>2649.81</v>
      </c>
      <c r="E207" s="3">
        <v>2970.52</v>
      </c>
      <c r="F207" s="3">
        <v>3125.15</v>
      </c>
      <c r="G207" s="50">
        <v>3880.99</v>
      </c>
      <c r="H207" s="342">
        <v>0</v>
      </c>
      <c r="I207" s="335"/>
    </row>
    <row r="208" spans="1:9" x14ac:dyDescent="0.25">
      <c r="A208" s="341" t="s">
        <v>340</v>
      </c>
      <c r="B208" s="335"/>
      <c r="C208" s="2" t="s">
        <v>341</v>
      </c>
      <c r="D208" s="3">
        <v>4299.58</v>
      </c>
      <c r="E208" s="3">
        <v>3657.4</v>
      </c>
      <c r="F208" s="3">
        <v>4938.83</v>
      </c>
      <c r="G208" s="50">
        <v>4437.18</v>
      </c>
      <c r="H208" s="342">
        <v>0</v>
      </c>
      <c r="I208" s="335"/>
    </row>
    <row r="209" spans="1:9" x14ac:dyDescent="0.25">
      <c r="A209" s="341" t="s">
        <v>342</v>
      </c>
      <c r="B209" s="335"/>
      <c r="C209" s="2" t="s">
        <v>343</v>
      </c>
      <c r="D209" s="3">
        <v>9124.3700000000008</v>
      </c>
      <c r="E209" s="3">
        <v>7358.01</v>
      </c>
      <c r="F209" s="3">
        <v>8390.52</v>
      </c>
      <c r="G209" s="50">
        <v>9859.24</v>
      </c>
      <c r="H209" s="342">
        <v>0</v>
      </c>
      <c r="I209" s="335"/>
    </row>
    <row r="210" spans="1:9" x14ac:dyDescent="0.25">
      <c r="A210" s="341" t="s">
        <v>344</v>
      </c>
      <c r="B210" s="335"/>
      <c r="C210" s="2" t="s">
        <v>345</v>
      </c>
      <c r="D210" s="3">
        <v>12759.69</v>
      </c>
      <c r="E210" s="3">
        <v>9993.27</v>
      </c>
      <c r="F210" s="3">
        <v>11934.85</v>
      </c>
      <c r="G210" s="50">
        <v>14028.29</v>
      </c>
      <c r="H210" s="342">
        <v>0</v>
      </c>
      <c r="I210" s="335"/>
    </row>
    <row r="211" spans="1:9" x14ac:dyDescent="0.25">
      <c r="A211" s="341" t="s">
        <v>346</v>
      </c>
      <c r="B211" s="335"/>
      <c r="C211" s="2" t="s">
        <v>347</v>
      </c>
      <c r="D211" s="3">
        <v>55026.13</v>
      </c>
      <c r="E211" s="3">
        <v>73885.41</v>
      </c>
      <c r="F211" s="3">
        <v>75231.12</v>
      </c>
      <c r="G211" s="50">
        <v>61309.57</v>
      </c>
      <c r="H211" s="342">
        <v>0</v>
      </c>
      <c r="I211" s="335"/>
    </row>
    <row r="212" spans="1:9" x14ac:dyDescent="0.25">
      <c r="A212" s="341" t="s">
        <v>348</v>
      </c>
      <c r="B212" s="335"/>
      <c r="C212" s="2" t="s">
        <v>349</v>
      </c>
      <c r="D212" s="3">
        <v>832.66</v>
      </c>
      <c r="E212" s="3">
        <v>987.45</v>
      </c>
      <c r="F212" s="3">
        <v>1025.52</v>
      </c>
      <c r="G212" s="50">
        <v>819.99</v>
      </c>
      <c r="H212" s="342">
        <v>0</v>
      </c>
      <c r="I212" s="335"/>
    </row>
    <row r="213" spans="1:9" x14ac:dyDescent="0.25">
      <c r="A213" s="341" t="s">
        <v>350</v>
      </c>
      <c r="B213" s="335"/>
      <c r="C213" s="2" t="s">
        <v>351</v>
      </c>
      <c r="D213" s="3">
        <v>25639.57</v>
      </c>
      <c r="E213" s="3">
        <v>33430.160000000003</v>
      </c>
      <c r="F213" s="3">
        <v>31314.36</v>
      </c>
      <c r="G213" s="50">
        <v>25059.37</v>
      </c>
      <c r="H213" s="342">
        <v>0</v>
      </c>
      <c r="I213" s="335"/>
    </row>
    <row r="214" spans="1:9" x14ac:dyDescent="0.25">
      <c r="A214" s="341" t="s">
        <v>352</v>
      </c>
      <c r="B214" s="335"/>
      <c r="C214" s="2" t="s">
        <v>353</v>
      </c>
      <c r="D214" s="3">
        <v>13097.33</v>
      </c>
      <c r="E214" s="3">
        <v>15899.71</v>
      </c>
      <c r="F214" s="3">
        <v>17231.45</v>
      </c>
      <c r="G214" s="50">
        <v>16113.58</v>
      </c>
      <c r="H214" s="342">
        <v>0</v>
      </c>
      <c r="I214" s="335"/>
    </row>
    <row r="215" spans="1:9" x14ac:dyDescent="0.25">
      <c r="A215" s="341" t="s">
        <v>354</v>
      </c>
      <c r="B215" s="335"/>
      <c r="C215" s="2" t="s">
        <v>355</v>
      </c>
      <c r="D215" s="3">
        <v>2535.08</v>
      </c>
      <c r="E215" s="3">
        <v>809.14</v>
      </c>
      <c r="F215" s="3">
        <v>769.74</v>
      </c>
      <c r="G215" s="50">
        <v>1187.45</v>
      </c>
      <c r="H215" s="342">
        <v>0</v>
      </c>
      <c r="I215" s="335"/>
    </row>
    <row r="216" spans="1:9" x14ac:dyDescent="0.25">
      <c r="A216" s="341" t="s">
        <v>356</v>
      </c>
      <c r="B216" s="335"/>
      <c r="C216" s="2" t="s">
        <v>357</v>
      </c>
      <c r="D216" s="3">
        <v>242.1</v>
      </c>
      <c r="E216" s="3">
        <v>326.99</v>
      </c>
      <c r="F216" s="3">
        <v>336.16</v>
      </c>
      <c r="G216" s="50">
        <v>453.33</v>
      </c>
      <c r="H216" s="342">
        <v>0</v>
      </c>
      <c r="I216" s="335"/>
    </row>
    <row r="217" spans="1:9" x14ac:dyDescent="0.25">
      <c r="A217" s="341" t="s">
        <v>358</v>
      </c>
      <c r="B217" s="335"/>
      <c r="C217" s="2" t="s">
        <v>286</v>
      </c>
      <c r="D217" s="3">
        <v>19050</v>
      </c>
      <c r="E217" s="3">
        <v>20000</v>
      </c>
      <c r="F217" s="3">
        <v>11000</v>
      </c>
      <c r="G217" s="50">
        <v>22250</v>
      </c>
      <c r="H217" s="342">
        <v>0</v>
      </c>
      <c r="I217" s="335"/>
    </row>
    <row r="218" spans="1:9" x14ac:dyDescent="0.25">
      <c r="A218" s="341" t="s">
        <v>359</v>
      </c>
      <c r="B218" s="335"/>
      <c r="C218" s="2" t="s">
        <v>37</v>
      </c>
      <c r="D218" s="3">
        <v>6036.96</v>
      </c>
      <c r="E218" s="3">
        <v>9750.9599999999991</v>
      </c>
      <c r="F218" s="3">
        <v>5933.35</v>
      </c>
      <c r="G218" s="50">
        <v>2072.86</v>
      </c>
      <c r="H218" s="342">
        <v>0</v>
      </c>
      <c r="I218" s="335"/>
    </row>
    <row r="219" spans="1:9" x14ac:dyDescent="0.25">
      <c r="A219" s="341" t="s">
        <v>360</v>
      </c>
      <c r="B219" s="335"/>
      <c r="C219" s="2" t="s">
        <v>361</v>
      </c>
      <c r="D219" s="3">
        <v>21218.44</v>
      </c>
      <c r="E219" s="3">
        <v>26697.75</v>
      </c>
      <c r="F219" s="3">
        <v>15088.97</v>
      </c>
      <c r="G219" s="50">
        <v>36786</v>
      </c>
      <c r="H219" s="342">
        <v>0</v>
      </c>
      <c r="I219" s="335"/>
    </row>
    <row r="220" spans="1:9" x14ac:dyDescent="0.25">
      <c r="A220" s="341" t="s">
        <v>362</v>
      </c>
      <c r="B220" s="335"/>
      <c r="C220" s="2" t="s">
        <v>363</v>
      </c>
      <c r="D220" s="3">
        <v>37741.17</v>
      </c>
      <c r="E220" s="3">
        <v>27699.22</v>
      </c>
      <c r="F220" s="3">
        <v>48074.78</v>
      </c>
      <c r="G220" s="50">
        <v>14142.7</v>
      </c>
      <c r="H220" s="342">
        <v>0</v>
      </c>
      <c r="I220" s="335"/>
    </row>
    <row r="221" spans="1:9" x14ac:dyDescent="0.25">
      <c r="A221" s="341" t="s">
        <v>364</v>
      </c>
      <c r="B221" s="335"/>
      <c r="C221" s="2" t="s">
        <v>365</v>
      </c>
      <c r="D221" s="3">
        <v>0</v>
      </c>
      <c r="E221" s="3">
        <v>0</v>
      </c>
      <c r="F221" s="3">
        <v>4978.2</v>
      </c>
      <c r="G221" s="50">
        <v>0</v>
      </c>
      <c r="H221" s="342">
        <v>0</v>
      </c>
      <c r="I221" s="335"/>
    </row>
    <row r="222" spans="1:9" x14ac:dyDescent="0.25">
      <c r="A222" s="341" t="s">
        <v>366</v>
      </c>
      <c r="B222" s="335"/>
      <c r="C222" s="2" t="s">
        <v>367</v>
      </c>
      <c r="D222" s="3">
        <v>2069.83</v>
      </c>
      <c r="E222" s="3">
        <v>3310.62</v>
      </c>
      <c r="F222" s="3">
        <v>2194.0100000000002</v>
      </c>
      <c r="G222" s="50">
        <v>1344.12</v>
      </c>
      <c r="H222" s="342">
        <v>0</v>
      </c>
      <c r="I222" s="335"/>
    </row>
    <row r="223" spans="1:9" x14ac:dyDescent="0.25">
      <c r="A223" s="341" t="s">
        <v>368</v>
      </c>
      <c r="B223" s="335"/>
      <c r="C223" s="2" t="s">
        <v>369</v>
      </c>
      <c r="D223" s="3">
        <v>10488.85</v>
      </c>
      <c r="E223" s="3">
        <v>10406.51</v>
      </c>
      <c r="F223" s="3">
        <v>5772.23</v>
      </c>
      <c r="G223" s="50">
        <v>214.26</v>
      </c>
      <c r="H223" s="342">
        <v>0</v>
      </c>
      <c r="I223" s="335"/>
    </row>
    <row r="224" spans="1:9" x14ac:dyDescent="0.25">
      <c r="A224" s="341" t="s">
        <v>370</v>
      </c>
      <c r="B224" s="335"/>
      <c r="C224" s="2" t="s">
        <v>43</v>
      </c>
      <c r="D224" s="3">
        <v>185803.11</v>
      </c>
      <c r="E224" s="3">
        <v>175466.06</v>
      </c>
      <c r="F224" s="3">
        <v>216318.87</v>
      </c>
      <c r="G224" s="50">
        <v>176737.64</v>
      </c>
      <c r="H224" s="342">
        <v>0</v>
      </c>
      <c r="I224" s="335"/>
    </row>
    <row r="225" spans="1:9" ht="24" x14ac:dyDescent="0.25">
      <c r="A225" s="341" t="s">
        <v>371</v>
      </c>
      <c r="B225" s="335"/>
      <c r="C225" s="2" t="s">
        <v>372</v>
      </c>
      <c r="D225" s="3">
        <v>101199.79</v>
      </c>
      <c r="E225" s="3">
        <v>129270.43</v>
      </c>
      <c r="F225" s="3">
        <v>164220.85999999999</v>
      </c>
      <c r="G225" s="50">
        <v>203798.89</v>
      </c>
      <c r="H225" s="342">
        <v>0</v>
      </c>
      <c r="I225" s="335"/>
    </row>
    <row r="226" spans="1:9" x14ac:dyDescent="0.25">
      <c r="A226" s="341" t="s">
        <v>373</v>
      </c>
      <c r="B226" s="335"/>
      <c r="C226" s="2" t="s">
        <v>198</v>
      </c>
      <c r="D226" s="3">
        <v>104864.36</v>
      </c>
      <c r="E226" s="3">
        <v>80667.070000000007</v>
      </c>
      <c r="F226" s="3">
        <v>97215.15</v>
      </c>
      <c r="G226" s="50">
        <v>82421.47</v>
      </c>
      <c r="H226" s="342">
        <v>0</v>
      </c>
      <c r="I226" s="335"/>
    </row>
    <row r="227" spans="1:9" x14ac:dyDescent="0.25">
      <c r="A227" s="341" t="s">
        <v>374</v>
      </c>
      <c r="B227" s="335"/>
      <c r="C227" s="2" t="s">
        <v>95</v>
      </c>
      <c r="D227" s="3">
        <v>17685.349999999999</v>
      </c>
      <c r="E227" s="3">
        <v>12167.21</v>
      </c>
      <c r="F227" s="3">
        <v>12277.65</v>
      </c>
      <c r="G227" s="50">
        <v>17886.62</v>
      </c>
      <c r="H227" s="342">
        <v>0</v>
      </c>
      <c r="I227" s="335"/>
    </row>
    <row r="228" spans="1:9" x14ac:dyDescent="0.25">
      <c r="A228" s="341" t="s">
        <v>375</v>
      </c>
      <c r="B228" s="335"/>
      <c r="C228" s="2" t="s">
        <v>376</v>
      </c>
      <c r="D228" s="3">
        <v>3720.03</v>
      </c>
      <c r="E228" s="3">
        <v>8118.75</v>
      </c>
      <c r="F228" s="3">
        <v>2167</v>
      </c>
      <c r="G228" s="50">
        <v>7899.15</v>
      </c>
      <c r="H228" s="342">
        <v>0</v>
      </c>
      <c r="I228" s="335"/>
    </row>
    <row r="229" spans="1:9" ht="24" x14ac:dyDescent="0.25">
      <c r="A229" s="341" t="s">
        <v>377</v>
      </c>
      <c r="B229" s="335"/>
      <c r="C229" s="2" t="s">
        <v>378</v>
      </c>
      <c r="D229" s="3">
        <v>7235</v>
      </c>
      <c r="E229" s="3">
        <v>7452</v>
      </c>
      <c r="F229" s="3">
        <v>7676</v>
      </c>
      <c r="G229" s="50">
        <v>8167.27</v>
      </c>
      <c r="H229" s="342">
        <v>0</v>
      </c>
      <c r="I229" s="335"/>
    </row>
    <row r="230" spans="1:9" x14ac:dyDescent="0.25">
      <c r="A230" s="341" t="s">
        <v>379</v>
      </c>
      <c r="B230" s="335"/>
      <c r="C230" s="2" t="s">
        <v>380</v>
      </c>
      <c r="D230" s="3">
        <v>38664.959999999999</v>
      </c>
      <c r="E230" s="3">
        <v>38083.94</v>
      </c>
      <c r="F230" s="3">
        <v>36912.480000000003</v>
      </c>
      <c r="G230" s="50">
        <v>23992.69</v>
      </c>
      <c r="H230" s="342">
        <v>0</v>
      </c>
      <c r="I230" s="335"/>
    </row>
    <row r="231" spans="1:9" x14ac:dyDescent="0.25">
      <c r="A231" s="341" t="s">
        <v>381</v>
      </c>
      <c r="B231" s="335"/>
      <c r="C231" s="2" t="s">
        <v>59</v>
      </c>
      <c r="D231" s="3">
        <v>1334.14</v>
      </c>
      <c r="E231" s="3">
        <v>1155.23</v>
      </c>
      <c r="F231" s="3">
        <v>1371.5</v>
      </c>
      <c r="G231" s="50">
        <v>1857.96</v>
      </c>
      <c r="H231" s="342">
        <v>0</v>
      </c>
      <c r="I231" s="335"/>
    </row>
    <row r="232" spans="1:9" x14ac:dyDescent="0.25">
      <c r="A232" s="341" t="s">
        <v>382</v>
      </c>
      <c r="B232" s="335"/>
      <c r="C232" s="2" t="s">
        <v>17</v>
      </c>
      <c r="D232" s="3">
        <v>15535.2</v>
      </c>
      <c r="E232" s="3">
        <v>5082.01</v>
      </c>
      <c r="F232" s="3">
        <v>15712.72</v>
      </c>
      <c r="G232" s="50">
        <v>19960.310000000001</v>
      </c>
      <c r="H232" s="342">
        <v>0</v>
      </c>
      <c r="I232" s="335"/>
    </row>
    <row r="233" spans="1:9" x14ac:dyDescent="0.25">
      <c r="A233" s="341" t="s">
        <v>383</v>
      </c>
      <c r="B233" s="335"/>
      <c r="C233" s="2" t="s">
        <v>66</v>
      </c>
      <c r="D233" s="3">
        <v>11653.01</v>
      </c>
      <c r="E233" s="3">
        <v>16782.240000000002</v>
      </c>
      <c r="F233" s="3">
        <v>14051.62</v>
      </c>
      <c r="G233" s="50">
        <v>16759.400000000001</v>
      </c>
      <c r="H233" s="342">
        <v>0</v>
      </c>
      <c r="I233" s="335"/>
    </row>
    <row r="234" spans="1:9" x14ac:dyDescent="0.25">
      <c r="A234" s="341" t="s">
        <v>384</v>
      </c>
      <c r="B234" s="335"/>
      <c r="C234" s="2" t="s">
        <v>144</v>
      </c>
      <c r="D234" s="3">
        <v>278.33</v>
      </c>
      <c r="E234" s="3">
        <v>110</v>
      </c>
      <c r="F234" s="3">
        <v>120</v>
      </c>
      <c r="G234" s="50">
        <v>418.89</v>
      </c>
      <c r="H234" s="342">
        <v>0</v>
      </c>
      <c r="I234" s="335"/>
    </row>
    <row r="235" spans="1:9" x14ac:dyDescent="0.25">
      <c r="A235" s="341" t="s">
        <v>385</v>
      </c>
      <c r="B235" s="335"/>
      <c r="C235" s="2" t="s">
        <v>386</v>
      </c>
      <c r="D235" s="3">
        <v>4466.1099999999997</v>
      </c>
      <c r="E235" s="3">
        <v>6284.44</v>
      </c>
      <c r="F235" s="3">
        <v>7630.15</v>
      </c>
      <c r="G235" s="50">
        <v>5725.7</v>
      </c>
      <c r="H235" s="342">
        <v>0</v>
      </c>
      <c r="I235" s="335"/>
    </row>
    <row r="236" spans="1:9" x14ac:dyDescent="0.25">
      <c r="A236" s="341" t="s">
        <v>387</v>
      </c>
      <c r="B236" s="335"/>
      <c r="C236" s="2" t="s">
        <v>388</v>
      </c>
      <c r="D236" s="3">
        <v>12092.66</v>
      </c>
      <c r="E236" s="3">
        <v>8459.43</v>
      </c>
      <c r="F236" s="3">
        <v>15812.88</v>
      </c>
      <c r="G236" s="50">
        <v>6121.74</v>
      </c>
      <c r="H236" s="342">
        <v>0</v>
      </c>
      <c r="I236" s="335"/>
    </row>
    <row r="237" spans="1:9" ht="24" x14ac:dyDescent="0.25">
      <c r="A237" s="341" t="s">
        <v>389</v>
      </c>
      <c r="B237" s="335"/>
      <c r="C237" s="2" t="s">
        <v>390</v>
      </c>
      <c r="D237" s="3">
        <v>11364.7</v>
      </c>
      <c r="E237" s="3">
        <v>6930</v>
      </c>
      <c r="F237" s="3">
        <v>12732.5</v>
      </c>
      <c r="G237" s="50">
        <v>5462.5</v>
      </c>
      <c r="H237" s="342">
        <v>0</v>
      </c>
      <c r="I237" s="335"/>
    </row>
    <row r="238" spans="1:9" ht="24" x14ac:dyDescent="0.25">
      <c r="A238" s="341" t="s">
        <v>391</v>
      </c>
      <c r="B238" s="335"/>
      <c r="C238" s="2" t="s">
        <v>392</v>
      </c>
      <c r="D238" s="3">
        <v>1860.37</v>
      </c>
      <c r="E238" s="3">
        <v>566.91</v>
      </c>
      <c r="F238" s="3">
        <v>0</v>
      </c>
      <c r="G238" s="50">
        <v>0</v>
      </c>
      <c r="H238" s="342">
        <v>0</v>
      </c>
      <c r="I238" s="335"/>
    </row>
    <row r="239" spans="1:9" x14ac:dyDescent="0.25">
      <c r="A239" s="341" t="s">
        <v>393</v>
      </c>
      <c r="B239" s="335"/>
      <c r="C239" s="2" t="s">
        <v>64</v>
      </c>
      <c r="D239" s="3">
        <v>4996.4399999999996</v>
      </c>
      <c r="E239" s="3">
        <v>7212.42</v>
      </c>
      <c r="F239" s="3">
        <v>6751.57</v>
      </c>
      <c r="G239" s="50">
        <v>3580.29</v>
      </c>
      <c r="H239" s="342">
        <v>0</v>
      </c>
      <c r="I239" s="335"/>
    </row>
    <row r="240" spans="1:9" x14ac:dyDescent="0.25">
      <c r="A240" s="341" t="s">
        <v>394</v>
      </c>
      <c r="B240" s="335"/>
      <c r="C240" s="2" t="s">
        <v>395</v>
      </c>
      <c r="D240" s="3">
        <v>1012.38</v>
      </c>
      <c r="E240" s="3">
        <v>0</v>
      </c>
      <c r="F240" s="3">
        <v>1075.98</v>
      </c>
      <c r="G240" s="50">
        <v>345.7</v>
      </c>
      <c r="H240" s="342">
        <v>0</v>
      </c>
      <c r="I240" s="335"/>
    </row>
    <row r="241" spans="1:9" x14ac:dyDescent="0.25">
      <c r="A241" s="341" t="s">
        <v>396</v>
      </c>
      <c r="B241" s="335"/>
      <c r="C241" s="2" t="s">
        <v>397</v>
      </c>
      <c r="D241" s="3">
        <v>127.46</v>
      </c>
      <c r="E241" s="3">
        <v>0</v>
      </c>
      <c r="F241" s="3">
        <v>0</v>
      </c>
      <c r="G241" s="50">
        <v>0</v>
      </c>
      <c r="H241" s="342">
        <v>0</v>
      </c>
      <c r="I241" s="335"/>
    </row>
    <row r="242" spans="1:9" x14ac:dyDescent="0.25">
      <c r="A242" s="341" t="s">
        <v>398</v>
      </c>
      <c r="B242" s="335"/>
      <c r="C242" s="2" t="s">
        <v>399</v>
      </c>
      <c r="D242" s="3">
        <v>610.75</v>
      </c>
      <c r="E242" s="3">
        <v>34.1</v>
      </c>
      <c r="F242" s="3">
        <v>204.95</v>
      </c>
      <c r="G242" s="50">
        <v>0</v>
      </c>
      <c r="H242" s="342">
        <v>0</v>
      </c>
      <c r="I242" s="335"/>
    </row>
    <row r="243" spans="1:9" x14ac:dyDescent="0.25">
      <c r="A243" s="341" t="s">
        <v>400</v>
      </c>
      <c r="B243" s="335"/>
      <c r="C243" s="2" t="s">
        <v>401</v>
      </c>
      <c r="D243" s="3">
        <v>0</v>
      </c>
      <c r="E243" s="3">
        <v>0</v>
      </c>
      <c r="F243" s="3">
        <v>0</v>
      </c>
      <c r="G243" s="50">
        <v>0</v>
      </c>
      <c r="H243" s="342">
        <v>0</v>
      </c>
      <c r="I243" s="335"/>
    </row>
    <row r="244" spans="1:9" ht="36" x14ac:dyDescent="0.25">
      <c r="A244" s="341" t="s">
        <v>402</v>
      </c>
      <c r="B244" s="335"/>
      <c r="C244" s="2" t="s">
        <v>403</v>
      </c>
      <c r="D244" s="3">
        <v>0</v>
      </c>
      <c r="E244" s="3">
        <v>0</v>
      </c>
      <c r="F244" s="3">
        <v>0</v>
      </c>
      <c r="G244" s="50">
        <v>0</v>
      </c>
      <c r="H244" s="342">
        <v>0</v>
      </c>
      <c r="I244" s="335"/>
    </row>
    <row r="245" spans="1:9" ht="36" x14ac:dyDescent="0.25">
      <c r="A245" s="341" t="s">
        <v>404</v>
      </c>
      <c r="B245" s="335"/>
      <c r="C245" s="2" t="s">
        <v>405</v>
      </c>
      <c r="D245" s="3">
        <v>0</v>
      </c>
      <c r="E245" s="3">
        <v>0</v>
      </c>
      <c r="F245" s="3">
        <v>489.15</v>
      </c>
      <c r="G245" s="50">
        <v>0</v>
      </c>
      <c r="H245" s="342">
        <v>0</v>
      </c>
      <c r="I245" s="335"/>
    </row>
    <row r="246" spans="1:9" ht="36" x14ac:dyDescent="0.25">
      <c r="A246" s="341" t="s">
        <v>406</v>
      </c>
      <c r="B246" s="335"/>
      <c r="C246" s="2" t="s">
        <v>407</v>
      </c>
      <c r="D246" s="3">
        <v>0</v>
      </c>
      <c r="E246" s="3">
        <v>0</v>
      </c>
      <c r="F246" s="3">
        <v>3255.57</v>
      </c>
      <c r="G246" s="50">
        <v>0</v>
      </c>
      <c r="H246" s="342">
        <v>0</v>
      </c>
      <c r="I246" s="335"/>
    </row>
    <row r="247" spans="1:9" x14ac:dyDescent="0.25">
      <c r="A247" s="341" t="s">
        <v>408</v>
      </c>
      <c r="B247" s="335"/>
      <c r="C247" s="2" t="s">
        <v>409</v>
      </c>
      <c r="D247" s="3">
        <v>750</v>
      </c>
      <c r="E247" s="3">
        <v>0</v>
      </c>
      <c r="F247" s="3">
        <v>0</v>
      </c>
      <c r="G247" s="50">
        <v>0</v>
      </c>
      <c r="H247" s="342">
        <v>0</v>
      </c>
      <c r="I247" s="335"/>
    </row>
    <row r="248" spans="1:9" x14ac:dyDescent="0.25">
      <c r="A248" s="341" t="s">
        <v>410</v>
      </c>
      <c r="B248" s="335"/>
      <c r="C248" s="2" t="s">
        <v>411</v>
      </c>
      <c r="D248" s="3">
        <v>152328</v>
      </c>
      <c r="E248" s="3">
        <v>171927</v>
      </c>
      <c r="F248" s="3">
        <v>166824</v>
      </c>
      <c r="G248" s="50">
        <v>154216.5</v>
      </c>
      <c r="H248" s="342">
        <v>0</v>
      </c>
      <c r="I248" s="335"/>
    </row>
    <row r="249" spans="1:9" x14ac:dyDescent="0.25">
      <c r="A249" s="341" t="s">
        <v>412</v>
      </c>
      <c r="B249" s="335"/>
      <c r="C249" s="2" t="s">
        <v>413</v>
      </c>
      <c r="D249" s="3">
        <v>2400</v>
      </c>
      <c r="E249" s="3">
        <v>2400</v>
      </c>
      <c r="F249" s="3">
        <v>2400</v>
      </c>
      <c r="G249" s="50">
        <v>1491.5</v>
      </c>
      <c r="H249" s="342">
        <v>0</v>
      </c>
      <c r="I249" s="335"/>
    </row>
    <row r="250" spans="1:9" x14ac:dyDescent="0.25">
      <c r="A250" s="341" t="s">
        <v>416</v>
      </c>
      <c r="B250" s="335"/>
      <c r="C250" s="2" t="s">
        <v>417</v>
      </c>
      <c r="D250" s="3">
        <v>86652.55</v>
      </c>
      <c r="E250" s="3">
        <v>91524.12</v>
      </c>
      <c r="F250" s="3">
        <v>95963.83</v>
      </c>
      <c r="G250" s="50">
        <v>81787.23</v>
      </c>
      <c r="H250" s="342">
        <v>0</v>
      </c>
      <c r="I250" s="335"/>
    </row>
    <row r="251" spans="1:9" x14ac:dyDescent="0.25">
      <c r="A251" s="341" t="s">
        <v>418</v>
      </c>
      <c r="B251" s="335"/>
      <c r="C251" s="2" t="s">
        <v>29</v>
      </c>
      <c r="D251" s="3">
        <v>1794.18</v>
      </c>
      <c r="E251" s="3">
        <v>1678.08</v>
      </c>
      <c r="F251" s="3">
        <v>1673.6</v>
      </c>
      <c r="G251" s="50">
        <v>1322.24</v>
      </c>
      <c r="H251" s="342">
        <v>0</v>
      </c>
      <c r="I251" s="335"/>
    </row>
    <row r="252" spans="1:9" x14ac:dyDescent="0.25">
      <c r="A252" s="341" t="s">
        <v>419</v>
      </c>
      <c r="B252" s="335"/>
      <c r="C252" s="2" t="s">
        <v>31</v>
      </c>
      <c r="D252" s="3">
        <v>248.69</v>
      </c>
      <c r="E252" s="3">
        <v>204.57</v>
      </c>
      <c r="F252" s="3">
        <v>227.17</v>
      </c>
      <c r="G252" s="50">
        <v>165.95</v>
      </c>
      <c r="H252" s="342">
        <v>0</v>
      </c>
      <c r="I252" s="335"/>
    </row>
    <row r="253" spans="1:9" x14ac:dyDescent="0.25">
      <c r="A253" s="341" t="s">
        <v>420</v>
      </c>
      <c r="B253" s="335"/>
      <c r="C253" s="2" t="s">
        <v>33</v>
      </c>
      <c r="D253" s="3">
        <v>10493.85</v>
      </c>
      <c r="E253" s="3">
        <v>11289.62</v>
      </c>
      <c r="F253" s="3">
        <v>11224.42</v>
      </c>
      <c r="G253" s="50">
        <v>8901.0300000000007</v>
      </c>
      <c r="H253" s="342">
        <v>0</v>
      </c>
      <c r="I253" s="335"/>
    </row>
    <row r="254" spans="1:9" x14ac:dyDescent="0.25">
      <c r="A254" s="341" t="s">
        <v>421</v>
      </c>
      <c r="B254" s="335"/>
      <c r="C254" s="2" t="s">
        <v>11</v>
      </c>
      <c r="D254" s="3">
        <v>6628.94</v>
      </c>
      <c r="E254" s="3">
        <v>7001.63</v>
      </c>
      <c r="F254" s="3">
        <v>7341.22</v>
      </c>
      <c r="G254" s="50">
        <v>6256.76</v>
      </c>
      <c r="H254" s="342">
        <v>0</v>
      </c>
      <c r="I254" s="335"/>
    </row>
    <row r="255" spans="1:9" x14ac:dyDescent="0.25">
      <c r="A255" s="341" t="s">
        <v>422</v>
      </c>
      <c r="B255" s="335"/>
      <c r="C255" s="2" t="s">
        <v>423</v>
      </c>
      <c r="D255" s="3">
        <v>119.9</v>
      </c>
      <c r="E255" s="3">
        <v>139.94999999999999</v>
      </c>
      <c r="F255" s="3">
        <v>140.83000000000001</v>
      </c>
      <c r="G255" s="50">
        <v>173.87</v>
      </c>
      <c r="H255" s="342">
        <v>0</v>
      </c>
      <c r="I255" s="335"/>
    </row>
    <row r="256" spans="1:9" x14ac:dyDescent="0.25">
      <c r="A256" s="341" t="s">
        <v>424</v>
      </c>
      <c r="B256" s="335"/>
      <c r="C256" s="2" t="s">
        <v>37</v>
      </c>
      <c r="D256" s="3">
        <v>0</v>
      </c>
      <c r="E256" s="3">
        <v>91.81</v>
      </c>
      <c r="F256" s="3">
        <v>558.83000000000004</v>
      </c>
      <c r="G256" s="50">
        <v>0</v>
      </c>
      <c r="H256" s="342">
        <v>0</v>
      </c>
      <c r="I256" s="335"/>
    </row>
    <row r="257" spans="1:9" x14ac:dyDescent="0.25">
      <c r="A257" s="341" t="s">
        <v>425</v>
      </c>
      <c r="B257" s="335"/>
      <c r="C257" s="2" t="s">
        <v>426</v>
      </c>
      <c r="D257" s="3">
        <v>461.86</v>
      </c>
      <c r="E257" s="3">
        <v>0</v>
      </c>
      <c r="F257" s="3">
        <v>0</v>
      </c>
      <c r="G257" s="50">
        <v>0</v>
      </c>
      <c r="H257" s="342">
        <v>0</v>
      </c>
      <c r="I257" s="335"/>
    </row>
    <row r="258" spans="1:9" x14ac:dyDescent="0.25">
      <c r="A258" s="341" t="s">
        <v>427</v>
      </c>
      <c r="B258" s="335"/>
      <c r="C258" s="2" t="s">
        <v>198</v>
      </c>
      <c r="D258" s="3">
        <v>1881.06</v>
      </c>
      <c r="E258" s="3">
        <v>1265.71</v>
      </c>
      <c r="F258" s="3">
        <v>1067.74</v>
      </c>
      <c r="G258" s="50">
        <v>1265.71</v>
      </c>
      <c r="H258" s="342">
        <v>0</v>
      </c>
      <c r="I258" s="335"/>
    </row>
    <row r="259" spans="1:9" x14ac:dyDescent="0.25">
      <c r="A259" s="341" t="s">
        <v>428</v>
      </c>
      <c r="B259" s="335"/>
      <c r="C259" s="2" t="s">
        <v>95</v>
      </c>
      <c r="D259" s="3">
        <v>222.5</v>
      </c>
      <c r="E259" s="3">
        <v>149.9</v>
      </c>
      <c r="F259" s="3">
        <v>145.19999999999999</v>
      </c>
      <c r="G259" s="50">
        <v>53.1</v>
      </c>
      <c r="H259" s="342">
        <v>0</v>
      </c>
      <c r="I259" s="335"/>
    </row>
    <row r="260" spans="1:9" x14ac:dyDescent="0.25">
      <c r="A260" s="341" t="s">
        <v>429</v>
      </c>
      <c r="B260" s="335"/>
      <c r="C260" s="2" t="s">
        <v>17</v>
      </c>
      <c r="D260" s="3">
        <v>0</v>
      </c>
      <c r="E260" s="3">
        <v>0</v>
      </c>
      <c r="F260" s="3">
        <v>0</v>
      </c>
      <c r="G260" s="50">
        <v>0</v>
      </c>
      <c r="H260" s="342">
        <v>0</v>
      </c>
      <c r="I260" s="335"/>
    </row>
    <row r="261" spans="1:9" x14ac:dyDescent="0.25">
      <c r="A261" s="341" t="s">
        <v>430</v>
      </c>
      <c r="B261" s="335"/>
      <c r="C261" s="2" t="s">
        <v>64</v>
      </c>
      <c r="D261" s="3">
        <v>40</v>
      </c>
      <c r="E261" s="3">
        <v>40</v>
      </c>
      <c r="F261" s="3">
        <v>40</v>
      </c>
      <c r="G261" s="50">
        <v>40</v>
      </c>
      <c r="H261" s="342">
        <v>0</v>
      </c>
      <c r="I261" s="335"/>
    </row>
    <row r="262" spans="1:9" x14ac:dyDescent="0.25">
      <c r="A262" s="341" t="s">
        <v>431</v>
      </c>
      <c r="B262" s="335"/>
      <c r="C262" s="2" t="s">
        <v>66</v>
      </c>
      <c r="D262" s="3">
        <v>0</v>
      </c>
      <c r="E262" s="3">
        <v>0</v>
      </c>
      <c r="F262" s="3">
        <v>0</v>
      </c>
      <c r="G262" s="50">
        <v>0</v>
      </c>
      <c r="H262" s="342">
        <v>0</v>
      </c>
      <c r="I262" s="335"/>
    </row>
    <row r="263" spans="1:9" x14ac:dyDescent="0.25">
      <c r="A263" s="341" t="s">
        <v>433</v>
      </c>
      <c r="B263" s="335"/>
      <c r="C263" s="2" t="s">
        <v>434</v>
      </c>
      <c r="D263" s="3">
        <v>290106.99</v>
      </c>
      <c r="E263" s="3">
        <v>263780.69</v>
      </c>
      <c r="F263" s="3">
        <v>218619.71</v>
      </c>
      <c r="G263" s="50">
        <v>203518.26</v>
      </c>
      <c r="H263" s="342">
        <v>0</v>
      </c>
      <c r="I263" s="335"/>
    </row>
    <row r="264" spans="1:9" x14ac:dyDescent="0.25">
      <c r="A264" s="340" t="s">
        <v>3242</v>
      </c>
      <c r="B264" s="335"/>
      <c r="C264" s="1" t="s">
        <v>2</v>
      </c>
    </row>
    <row r="265" spans="1:9" ht="24" x14ac:dyDescent="0.25">
      <c r="A265" s="341" t="s">
        <v>438</v>
      </c>
      <c r="B265" s="335"/>
      <c r="C265" s="2" t="s">
        <v>439</v>
      </c>
      <c r="D265" s="3">
        <v>5304.9</v>
      </c>
      <c r="E265" s="3">
        <v>0</v>
      </c>
      <c r="F265" s="3">
        <v>0</v>
      </c>
      <c r="G265" s="3">
        <v>0</v>
      </c>
      <c r="H265" s="342">
        <v>0</v>
      </c>
      <c r="I265" s="335"/>
    </row>
    <row r="266" spans="1:9" x14ac:dyDescent="0.25">
      <c r="A266" s="341" t="s">
        <v>440</v>
      </c>
      <c r="B266" s="335"/>
      <c r="C266" s="2" t="s">
        <v>441</v>
      </c>
      <c r="D266" s="3">
        <v>68677.77</v>
      </c>
      <c r="E266" s="3">
        <v>71484.41</v>
      </c>
      <c r="F266" s="3">
        <v>74675.75</v>
      </c>
      <c r="G266" s="50">
        <v>62691.81</v>
      </c>
      <c r="H266" s="342">
        <v>0</v>
      </c>
      <c r="I266" s="335"/>
    </row>
    <row r="267" spans="1:9" x14ac:dyDescent="0.25">
      <c r="A267" s="341" t="s">
        <v>442</v>
      </c>
      <c r="B267" s="335"/>
      <c r="C267" s="2" t="s">
        <v>443</v>
      </c>
      <c r="D267" s="3">
        <v>149540.17000000001</v>
      </c>
      <c r="E267" s="3">
        <v>161495.74</v>
      </c>
      <c r="F267" s="3">
        <v>170232.37</v>
      </c>
      <c r="G267" s="50">
        <v>140026.84</v>
      </c>
      <c r="H267" s="342">
        <v>0</v>
      </c>
      <c r="I267" s="335"/>
    </row>
    <row r="268" spans="1:9" x14ac:dyDescent="0.25">
      <c r="A268" s="341" t="s">
        <v>444</v>
      </c>
      <c r="B268" s="335"/>
      <c r="C268" s="2" t="s">
        <v>445</v>
      </c>
      <c r="D268" s="3">
        <v>0</v>
      </c>
      <c r="E268" s="3">
        <v>64522.33</v>
      </c>
      <c r="F268" s="3">
        <v>65834.2</v>
      </c>
      <c r="G268" s="50">
        <v>53666.95</v>
      </c>
      <c r="H268" s="342">
        <v>0</v>
      </c>
      <c r="I268" s="335"/>
    </row>
    <row r="269" spans="1:9" x14ac:dyDescent="0.25">
      <c r="A269" s="340" t="s">
        <v>3241</v>
      </c>
      <c r="B269" s="335"/>
      <c r="C269" s="1" t="s">
        <v>2</v>
      </c>
      <c r="D269" s="4">
        <v>223522.84</v>
      </c>
      <c r="E269" s="4">
        <v>297502.48</v>
      </c>
      <c r="F269" s="4">
        <v>310742.32</v>
      </c>
      <c r="G269" s="4">
        <v>256385.6</v>
      </c>
      <c r="H269" s="343">
        <v>0</v>
      </c>
      <c r="I269" s="335"/>
    </row>
    <row r="270" spans="1:9" x14ac:dyDescent="0.25">
      <c r="A270" s="340" t="s">
        <v>2</v>
      </c>
      <c r="B270" s="335"/>
      <c r="C270" s="1" t="s">
        <v>2</v>
      </c>
      <c r="D270" s="1" t="s">
        <v>2</v>
      </c>
      <c r="E270" s="1" t="s">
        <v>2</v>
      </c>
      <c r="F270" s="1" t="s">
        <v>2</v>
      </c>
      <c r="G270" s="1" t="s">
        <v>2</v>
      </c>
      <c r="H270" s="340" t="s">
        <v>2</v>
      </c>
      <c r="I270" s="335"/>
    </row>
    <row r="271" spans="1:9" x14ac:dyDescent="0.25">
      <c r="A271" s="341" t="s">
        <v>446</v>
      </c>
      <c r="B271" s="335"/>
      <c r="C271" s="2" t="s">
        <v>447</v>
      </c>
      <c r="D271" s="3">
        <v>35246.49</v>
      </c>
      <c r="E271" s="3">
        <v>49309.2</v>
      </c>
      <c r="F271" s="3">
        <v>50115.93</v>
      </c>
      <c r="G271" s="50">
        <v>41996.54</v>
      </c>
      <c r="H271" s="342">
        <v>0</v>
      </c>
      <c r="I271" s="335"/>
    </row>
    <row r="272" spans="1:9" x14ac:dyDescent="0.25">
      <c r="A272" s="341" t="s">
        <v>448</v>
      </c>
      <c r="B272" s="335"/>
      <c r="C272" s="2" t="s">
        <v>449</v>
      </c>
      <c r="D272" s="3">
        <v>3818.39</v>
      </c>
      <c r="E272" s="3">
        <v>4714.45</v>
      </c>
      <c r="F272" s="3">
        <v>5776.2</v>
      </c>
      <c r="G272" s="50">
        <v>3448.83</v>
      </c>
      <c r="H272" s="342">
        <v>0</v>
      </c>
      <c r="I272" s="335"/>
    </row>
    <row r="273" spans="1:9" x14ac:dyDescent="0.25">
      <c r="A273" s="341" t="s">
        <v>450</v>
      </c>
      <c r="B273" s="335"/>
      <c r="C273" s="2" t="s">
        <v>451</v>
      </c>
      <c r="D273" s="3">
        <v>31228.59</v>
      </c>
      <c r="E273" s="3">
        <v>35761.919999999998</v>
      </c>
      <c r="F273" s="3">
        <v>40079.78</v>
      </c>
      <c r="G273" s="50">
        <v>30274.44</v>
      </c>
      <c r="H273" s="342">
        <v>0</v>
      </c>
      <c r="I273" s="335"/>
    </row>
    <row r="274" spans="1:9" x14ac:dyDescent="0.25">
      <c r="A274" s="341" t="s">
        <v>452</v>
      </c>
      <c r="B274" s="335"/>
      <c r="C274" s="2" t="s">
        <v>453</v>
      </c>
      <c r="D274" s="3">
        <v>17010.900000000001</v>
      </c>
      <c r="E274" s="3">
        <v>22610.91</v>
      </c>
      <c r="F274" s="3">
        <v>23622.799999999999</v>
      </c>
      <c r="G274" s="50">
        <v>19487.3</v>
      </c>
      <c r="H274" s="342">
        <v>0</v>
      </c>
      <c r="I274" s="335"/>
    </row>
    <row r="275" spans="1:9" x14ac:dyDescent="0.25">
      <c r="A275" s="341" t="s">
        <v>454</v>
      </c>
      <c r="B275" s="335"/>
      <c r="C275" s="2" t="s">
        <v>455</v>
      </c>
      <c r="D275" s="3">
        <v>311.22000000000003</v>
      </c>
      <c r="E275" s="3">
        <v>436.28</v>
      </c>
      <c r="F275" s="3">
        <v>455.71</v>
      </c>
      <c r="G275" s="50">
        <v>546.45000000000005</v>
      </c>
      <c r="H275" s="342">
        <v>0</v>
      </c>
      <c r="I275" s="335"/>
    </row>
    <row r="276" spans="1:9" x14ac:dyDescent="0.25">
      <c r="A276" s="341" t="s">
        <v>456</v>
      </c>
      <c r="B276" s="335"/>
      <c r="C276" s="2" t="s">
        <v>85</v>
      </c>
      <c r="D276" s="3">
        <v>3100</v>
      </c>
      <c r="E276" s="3">
        <v>3300</v>
      </c>
      <c r="F276" s="3">
        <v>3300</v>
      </c>
      <c r="G276" s="50">
        <v>3300</v>
      </c>
      <c r="H276" s="342">
        <v>0</v>
      </c>
      <c r="I276" s="335"/>
    </row>
    <row r="277" spans="1:9" x14ac:dyDescent="0.25">
      <c r="A277" s="341" t="s">
        <v>457</v>
      </c>
      <c r="B277" s="335"/>
      <c r="C277" s="2" t="s">
        <v>458</v>
      </c>
      <c r="D277" s="3">
        <v>480</v>
      </c>
      <c r="E277" s="3">
        <v>825</v>
      </c>
      <c r="F277" s="3">
        <v>825</v>
      </c>
      <c r="G277" s="50">
        <v>542.39</v>
      </c>
      <c r="H277" s="342">
        <v>0</v>
      </c>
      <c r="I277" s="335"/>
    </row>
    <row r="278" spans="1:9" x14ac:dyDescent="0.25">
      <c r="A278" s="341" t="s">
        <v>459</v>
      </c>
      <c r="B278" s="335"/>
      <c r="C278" s="2" t="s">
        <v>37</v>
      </c>
      <c r="D278" s="3">
        <v>757.03</v>
      </c>
      <c r="E278" s="3">
        <v>548.54999999999995</v>
      </c>
      <c r="F278" s="3">
        <v>272.8</v>
      </c>
      <c r="G278" s="50">
        <v>249.6</v>
      </c>
      <c r="H278" s="342">
        <v>0</v>
      </c>
      <c r="I278" s="335"/>
    </row>
    <row r="279" spans="1:9" x14ac:dyDescent="0.25">
      <c r="A279" s="341" t="s">
        <v>460</v>
      </c>
      <c r="B279" s="335"/>
      <c r="C279" s="2" t="s">
        <v>39</v>
      </c>
      <c r="D279" s="3">
        <v>0</v>
      </c>
      <c r="E279" s="3">
        <v>0</v>
      </c>
      <c r="F279" s="3">
        <v>0</v>
      </c>
      <c r="G279" s="50">
        <v>16.850000000000001</v>
      </c>
      <c r="H279" s="342">
        <v>0</v>
      </c>
      <c r="I279" s="335"/>
    </row>
    <row r="280" spans="1:9" x14ac:dyDescent="0.25">
      <c r="A280" s="341" t="s">
        <v>461</v>
      </c>
      <c r="B280" s="335"/>
      <c r="C280" s="2" t="s">
        <v>462</v>
      </c>
      <c r="D280" s="3">
        <v>347.82</v>
      </c>
      <c r="E280" s="3">
        <v>0</v>
      </c>
      <c r="F280" s="3">
        <v>0</v>
      </c>
      <c r="G280" s="50">
        <v>0</v>
      </c>
      <c r="H280" s="342">
        <v>0</v>
      </c>
      <c r="I280" s="335"/>
    </row>
    <row r="281" spans="1:9" x14ac:dyDescent="0.25">
      <c r="A281" s="341" t="s">
        <v>463</v>
      </c>
      <c r="B281" s="335"/>
      <c r="C281" s="2" t="s">
        <v>464</v>
      </c>
      <c r="D281" s="3">
        <v>0</v>
      </c>
      <c r="E281" s="3">
        <v>0</v>
      </c>
      <c r="F281" s="3">
        <v>0</v>
      </c>
      <c r="G281" s="50">
        <v>0</v>
      </c>
      <c r="H281" s="342">
        <v>0</v>
      </c>
      <c r="I281" s="335"/>
    </row>
    <row r="282" spans="1:9" ht="24" x14ac:dyDescent="0.25">
      <c r="A282" s="341" t="s">
        <v>465</v>
      </c>
      <c r="B282" s="335"/>
      <c r="C282" s="2" t="s">
        <v>466</v>
      </c>
      <c r="D282" s="3">
        <v>11575.01</v>
      </c>
      <c r="E282" s="3">
        <v>9272.7999999999993</v>
      </c>
      <c r="F282" s="3">
        <v>15259.5</v>
      </c>
      <c r="G282" s="50">
        <v>9272.7999999999993</v>
      </c>
      <c r="H282" s="342">
        <v>0</v>
      </c>
      <c r="I282" s="335"/>
    </row>
    <row r="283" spans="1:9" ht="24" x14ac:dyDescent="0.25">
      <c r="A283" s="341" t="s">
        <v>467</v>
      </c>
      <c r="B283" s="335"/>
      <c r="C283" s="2" t="s">
        <v>468</v>
      </c>
      <c r="D283" s="3">
        <v>7346.89</v>
      </c>
      <c r="E283" s="3">
        <v>5062.84</v>
      </c>
      <c r="F283" s="3">
        <v>14695.12</v>
      </c>
      <c r="G283" s="50">
        <v>5062.84</v>
      </c>
      <c r="H283" s="342">
        <v>0</v>
      </c>
      <c r="I283" s="335"/>
    </row>
    <row r="284" spans="1:9" x14ac:dyDescent="0.25">
      <c r="A284" s="341" t="s">
        <v>469</v>
      </c>
      <c r="B284" s="335"/>
      <c r="C284" s="2" t="s">
        <v>57</v>
      </c>
      <c r="D284" s="3">
        <v>2830.07</v>
      </c>
      <c r="E284" s="3">
        <v>3752.46</v>
      </c>
      <c r="F284" s="3">
        <v>3743.33</v>
      </c>
      <c r="G284" s="50">
        <v>1997.14</v>
      </c>
      <c r="H284" s="342">
        <v>0</v>
      </c>
      <c r="I284" s="335"/>
    </row>
    <row r="285" spans="1:9" x14ac:dyDescent="0.25">
      <c r="A285" s="341" t="s">
        <v>470</v>
      </c>
      <c r="B285" s="335"/>
      <c r="C285" s="2" t="s">
        <v>17</v>
      </c>
      <c r="D285" s="3">
        <v>3396.12</v>
      </c>
      <c r="E285" s="3">
        <v>1669.5</v>
      </c>
      <c r="F285" s="3">
        <v>917.09</v>
      </c>
      <c r="G285" s="50">
        <v>2510.2199999999998</v>
      </c>
      <c r="H285" s="342">
        <v>0</v>
      </c>
      <c r="I285" s="335"/>
    </row>
    <row r="286" spans="1:9" x14ac:dyDescent="0.25">
      <c r="A286" s="341" t="s">
        <v>471</v>
      </c>
      <c r="B286" s="335"/>
      <c r="C286" s="2" t="s">
        <v>472</v>
      </c>
      <c r="D286" s="3">
        <v>0</v>
      </c>
      <c r="E286" s="3">
        <v>0</v>
      </c>
      <c r="F286" s="3">
        <v>0</v>
      </c>
      <c r="G286" s="50">
        <v>0</v>
      </c>
      <c r="H286" s="342">
        <v>0</v>
      </c>
      <c r="I286" s="335"/>
    </row>
    <row r="287" spans="1:9" x14ac:dyDescent="0.25">
      <c r="A287" s="341" t="s">
        <v>473</v>
      </c>
      <c r="B287" s="335"/>
      <c r="C287" s="2" t="s">
        <v>64</v>
      </c>
      <c r="D287" s="3">
        <v>1195.82</v>
      </c>
      <c r="E287" s="3">
        <v>1599.24</v>
      </c>
      <c r="F287" s="3">
        <v>2380.5500000000002</v>
      </c>
      <c r="G287" s="50">
        <v>1018.51</v>
      </c>
      <c r="H287" s="342">
        <v>0</v>
      </c>
      <c r="I287" s="335"/>
    </row>
    <row r="288" spans="1:9" x14ac:dyDescent="0.25">
      <c r="A288" s="341" t="s">
        <v>474</v>
      </c>
      <c r="B288" s="335"/>
      <c r="C288" s="2" t="s">
        <v>66</v>
      </c>
      <c r="D288" s="3">
        <v>2300</v>
      </c>
      <c r="E288" s="3">
        <v>540</v>
      </c>
      <c r="F288" s="3">
        <v>1190.8699999999999</v>
      </c>
      <c r="G288" s="50">
        <v>900</v>
      </c>
      <c r="H288" s="342">
        <v>0</v>
      </c>
      <c r="I288" s="335"/>
    </row>
    <row r="289" spans="1:9" x14ac:dyDescent="0.25">
      <c r="A289" s="341" t="s">
        <v>477</v>
      </c>
      <c r="B289" s="335"/>
      <c r="C289" s="2" t="s">
        <v>478</v>
      </c>
      <c r="D289" s="3">
        <v>42065</v>
      </c>
      <c r="E289" s="3">
        <v>42595</v>
      </c>
      <c r="F289" s="3">
        <v>42308</v>
      </c>
      <c r="G289" s="50">
        <v>43725</v>
      </c>
      <c r="H289" s="342">
        <v>0</v>
      </c>
      <c r="I289" s="335"/>
    </row>
    <row r="290" spans="1:9" ht="24" x14ac:dyDescent="0.25">
      <c r="A290" s="341" t="s">
        <v>479</v>
      </c>
      <c r="B290" s="335"/>
      <c r="C290" s="2" t="s">
        <v>480</v>
      </c>
      <c r="D290" s="3">
        <v>120419.86</v>
      </c>
      <c r="E290" s="3">
        <v>143433.18</v>
      </c>
      <c r="F290" s="3">
        <v>156686.39000000001</v>
      </c>
      <c r="G290" s="50">
        <v>118425.45</v>
      </c>
      <c r="H290" s="342">
        <v>0</v>
      </c>
      <c r="I290" s="335"/>
    </row>
    <row r="291" spans="1:9" x14ac:dyDescent="0.25">
      <c r="A291" s="341" t="s">
        <v>483</v>
      </c>
      <c r="B291" s="335"/>
      <c r="C291" s="2" t="s">
        <v>484</v>
      </c>
      <c r="D291" s="3">
        <v>11889.26</v>
      </c>
      <c r="E291" s="3">
        <v>10612.35</v>
      </c>
      <c r="F291" s="3">
        <v>32710.95</v>
      </c>
      <c r="G291" s="50">
        <v>10103.56</v>
      </c>
      <c r="H291" s="342">
        <v>0</v>
      </c>
      <c r="I291" s="335"/>
    </row>
    <row r="292" spans="1:9" x14ac:dyDescent="0.25">
      <c r="A292" s="341" t="s">
        <v>485</v>
      </c>
      <c r="B292" s="335"/>
      <c r="C292" s="2" t="s">
        <v>486</v>
      </c>
      <c r="D292" s="3">
        <v>3456.57</v>
      </c>
      <c r="E292" s="3">
        <v>1949.8</v>
      </c>
      <c r="F292" s="3">
        <v>2240.69</v>
      </c>
      <c r="G292" s="50">
        <v>1365.67</v>
      </c>
      <c r="H292" s="342">
        <v>0</v>
      </c>
      <c r="I292" s="335"/>
    </row>
    <row r="293" spans="1:9" x14ac:dyDescent="0.25">
      <c r="A293" s="341" t="s">
        <v>487</v>
      </c>
      <c r="B293" s="335"/>
      <c r="C293" s="2" t="s">
        <v>488</v>
      </c>
      <c r="D293" s="3">
        <v>343.73</v>
      </c>
      <c r="E293" s="3">
        <v>612.26</v>
      </c>
      <c r="F293" s="3">
        <v>533.11</v>
      </c>
      <c r="G293" s="50">
        <v>667.2</v>
      </c>
      <c r="H293" s="342">
        <v>0</v>
      </c>
      <c r="I293" s="335"/>
    </row>
    <row r="294" spans="1:9" ht="24" x14ac:dyDescent="0.25">
      <c r="A294" s="341" t="s">
        <v>489</v>
      </c>
      <c r="B294" s="335"/>
      <c r="C294" s="2" t="s">
        <v>490</v>
      </c>
      <c r="D294" s="3">
        <v>3396.85</v>
      </c>
      <c r="E294" s="3">
        <v>2495.6999999999998</v>
      </c>
      <c r="F294" s="3">
        <v>8941.56</v>
      </c>
      <c r="G294" s="50">
        <v>2702.84</v>
      </c>
      <c r="H294" s="342">
        <v>0</v>
      </c>
      <c r="I294" s="335"/>
    </row>
    <row r="295" spans="1:9" x14ac:dyDescent="0.25">
      <c r="A295" s="341" t="s">
        <v>491</v>
      </c>
      <c r="B295" s="335"/>
      <c r="C295" s="2" t="s">
        <v>492</v>
      </c>
      <c r="D295" s="3">
        <v>277.87</v>
      </c>
      <c r="E295" s="3">
        <v>216.47</v>
      </c>
      <c r="F295" s="3">
        <v>797.65</v>
      </c>
      <c r="G295" s="50">
        <v>161.97999999999999</v>
      </c>
      <c r="H295" s="342">
        <v>0</v>
      </c>
      <c r="I295" s="335"/>
    </row>
    <row r="296" spans="1:9" x14ac:dyDescent="0.25">
      <c r="A296" s="341" t="s">
        <v>493</v>
      </c>
      <c r="B296" s="335"/>
      <c r="C296" s="2" t="s">
        <v>494</v>
      </c>
      <c r="D296" s="3">
        <v>1704.1</v>
      </c>
      <c r="E296" s="3">
        <v>1513.64</v>
      </c>
      <c r="F296" s="3">
        <v>3922.48</v>
      </c>
      <c r="G296" s="50">
        <v>1197.6500000000001</v>
      </c>
      <c r="H296" s="342">
        <v>0</v>
      </c>
      <c r="I296" s="335"/>
    </row>
    <row r="297" spans="1:9" ht="24" x14ac:dyDescent="0.25">
      <c r="A297" s="341" t="s">
        <v>495</v>
      </c>
      <c r="B297" s="335"/>
      <c r="C297" s="2" t="s">
        <v>496</v>
      </c>
      <c r="D297" s="3">
        <v>897.46</v>
      </c>
      <c r="E297" s="3">
        <v>802.75</v>
      </c>
      <c r="F297" s="3">
        <v>2468.2199999999998</v>
      </c>
      <c r="G297" s="50">
        <v>763.67</v>
      </c>
      <c r="H297" s="342">
        <v>0</v>
      </c>
      <c r="I297" s="335"/>
    </row>
    <row r="298" spans="1:9" x14ac:dyDescent="0.25">
      <c r="A298" s="341" t="s">
        <v>497</v>
      </c>
      <c r="B298" s="335"/>
      <c r="C298" s="2" t="s">
        <v>498</v>
      </c>
      <c r="D298" s="3">
        <v>896.66</v>
      </c>
      <c r="E298" s="3">
        <v>406.08</v>
      </c>
      <c r="F298" s="3">
        <v>424.65</v>
      </c>
      <c r="G298" s="50">
        <v>306.66000000000003</v>
      </c>
      <c r="H298" s="342">
        <v>0</v>
      </c>
      <c r="I298" s="335"/>
    </row>
    <row r="299" spans="1:9" x14ac:dyDescent="0.25">
      <c r="A299" s="341" t="s">
        <v>499</v>
      </c>
      <c r="B299" s="335"/>
      <c r="C299" s="2" t="s">
        <v>500</v>
      </c>
      <c r="D299" s="3">
        <v>84.19</v>
      </c>
      <c r="E299" s="3">
        <v>44.99</v>
      </c>
      <c r="F299" s="3">
        <v>45.43</v>
      </c>
      <c r="G299" s="50">
        <v>20.92</v>
      </c>
      <c r="H299" s="342">
        <v>0</v>
      </c>
      <c r="I299" s="335"/>
    </row>
    <row r="300" spans="1:9" x14ac:dyDescent="0.25">
      <c r="A300" s="341" t="s">
        <v>501</v>
      </c>
      <c r="B300" s="335"/>
      <c r="C300" s="2" t="s">
        <v>502</v>
      </c>
      <c r="D300" s="3">
        <v>499.53</v>
      </c>
      <c r="E300" s="3">
        <v>270.62</v>
      </c>
      <c r="F300" s="3">
        <v>290.86</v>
      </c>
      <c r="G300" s="50">
        <v>156.63999999999999</v>
      </c>
      <c r="H300" s="342">
        <v>0</v>
      </c>
      <c r="I300" s="335"/>
    </row>
    <row r="301" spans="1:9" x14ac:dyDescent="0.25">
      <c r="A301" s="341" t="s">
        <v>503</v>
      </c>
      <c r="B301" s="335"/>
      <c r="C301" s="2" t="s">
        <v>504</v>
      </c>
      <c r="D301" s="3">
        <v>261.42</v>
      </c>
      <c r="E301" s="3">
        <v>147.44999999999999</v>
      </c>
      <c r="F301" s="3">
        <v>170.13</v>
      </c>
      <c r="G301" s="50">
        <v>103.39</v>
      </c>
      <c r="H301" s="342">
        <v>0</v>
      </c>
      <c r="I301" s="335"/>
    </row>
    <row r="302" spans="1:9" x14ac:dyDescent="0.25">
      <c r="A302" s="341" t="s">
        <v>505</v>
      </c>
      <c r="B302" s="335"/>
      <c r="C302" s="2" t="s">
        <v>85</v>
      </c>
      <c r="D302" s="3">
        <v>734.21</v>
      </c>
      <c r="E302" s="3">
        <v>274.97000000000003</v>
      </c>
      <c r="F302" s="3">
        <v>361.21</v>
      </c>
      <c r="G302" s="50">
        <v>330.2</v>
      </c>
      <c r="H302" s="342">
        <v>0</v>
      </c>
      <c r="I302" s="335"/>
    </row>
    <row r="303" spans="1:9" x14ac:dyDescent="0.25">
      <c r="A303" s="341" t="s">
        <v>506</v>
      </c>
      <c r="B303" s="335"/>
      <c r="C303" s="2" t="s">
        <v>507</v>
      </c>
      <c r="D303" s="3">
        <v>9.1199999999999992</v>
      </c>
      <c r="E303" s="3">
        <v>13.85</v>
      </c>
      <c r="F303" s="3">
        <v>13.04</v>
      </c>
      <c r="G303" s="50">
        <v>12.13</v>
      </c>
      <c r="H303" s="342">
        <v>0</v>
      </c>
      <c r="I303" s="335"/>
    </row>
    <row r="304" spans="1:9" ht="24" x14ac:dyDescent="0.25">
      <c r="A304" s="341" t="s">
        <v>508</v>
      </c>
      <c r="B304" s="335"/>
      <c r="C304" s="2" t="s">
        <v>509</v>
      </c>
      <c r="D304" s="3">
        <v>49.42</v>
      </c>
      <c r="E304" s="3">
        <v>91.08</v>
      </c>
      <c r="F304" s="3">
        <v>72.64</v>
      </c>
      <c r="G304" s="50">
        <v>79.41</v>
      </c>
      <c r="H304" s="342">
        <v>0</v>
      </c>
      <c r="I304" s="335"/>
    </row>
    <row r="305" spans="1:9" ht="24" x14ac:dyDescent="0.25">
      <c r="A305" s="341" t="s">
        <v>510</v>
      </c>
      <c r="B305" s="335"/>
      <c r="C305" s="2" t="s">
        <v>511</v>
      </c>
      <c r="D305" s="3">
        <v>26.1</v>
      </c>
      <c r="E305" s="3">
        <v>46.31</v>
      </c>
      <c r="F305" s="3">
        <v>40.549999999999997</v>
      </c>
      <c r="G305" s="50">
        <v>50.37</v>
      </c>
      <c r="H305" s="342">
        <v>0</v>
      </c>
      <c r="I305" s="335"/>
    </row>
    <row r="306" spans="1:9" x14ac:dyDescent="0.25">
      <c r="A306" s="341" t="s">
        <v>512</v>
      </c>
      <c r="B306" s="335"/>
      <c r="C306" s="2" t="s">
        <v>513</v>
      </c>
      <c r="D306" s="3">
        <v>16.55</v>
      </c>
      <c r="E306" s="3">
        <v>16.47</v>
      </c>
      <c r="F306" s="3">
        <v>48.72</v>
      </c>
      <c r="G306" s="50">
        <v>23</v>
      </c>
      <c r="H306" s="342">
        <v>0</v>
      </c>
      <c r="I306" s="335"/>
    </row>
    <row r="307" spans="1:9" x14ac:dyDescent="0.25">
      <c r="A307" s="341" t="s">
        <v>514</v>
      </c>
      <c r="B307" s="335"/>
      <c r="C307" s="2" t="s">
        <v>515</v>
      </c>
      <c r="D307" s="3">
        <v>4.8600000000000003</v>
      </c>
      <c r="E307" s="3">
        <v>2.96</v>
      </c>
      <c r="F307" s="3">
        <v>3.28</v>
      </c>
      <c r="G307" s="50">
        <v>2.91</v>
      </c>
      <c r="H307" s="342">
        <v>0</v>
      </c>
      <c r="I307" s="335"/>
    </row>
    <row r="308" spans="1:9" ht="24" x14ac:dyDescent="0.25">
      <c r="A308" s="341" t="s">
        <v>516</v>
      </c>
      <c r="B308" s="335"/>
      <c r="C308" s="2" t="s">
        <v>517</v>
      </c>
      <c r="D308" s="3">
        <v>37.07</v>
      </c>
      <c r="E308" s="3">
        <v>117.82</v>
      </c>
      <c r="F308" s="3">
        <v>67.11</v>
      </c>
      <c r="G308" s="50">
        <v>11.8</v>
      </c>
      <c r="H308" s="342">
        <v>0</v>
      </c>
      <c r="I308" s="335"/>
    </row>
    <row r="309" spans="1:9" x14ac:dyDescent="0.25">
      <c r="A309" s="341" t="s">
        <v>518</v>
      </c>
      <c r="B309" s="335"/>
      <c r="C309" s="2" t="s">
        <v>519</v>
      </c>
      <c r="D309" s="3">
        <v>0</v>
      </c>
      <c r="E309" s="3">
        <v>0</v>
      </c>
      <c r="F309" s="3">
        <v>0</v>
      </c>
      <c r="G309" s="50">
        <v>0</v>
      </c>
      <c r="H309" s="342">
        <v>0</v>
      </c>
      <c r="I309" s="335"/>
    </row>
    <row r="310" spans="1:9" x14ac:dyDescent="0.25">
      <c r="A310" s="341" t="s">
        <v>520</v>
      </c>
      <c r="B310" s="335"/>
      <c r="C310" s="2" t="s">
        <v>92</v>
      </c>
      <c r="D310" s="3">
        <v>13341.37</v>
      </c>
      <c r="E310" s="3">
        <v>11370.06</v>
      </c>
      <c r="F310" s="3">
        <v>2319.9699999999998</v>
      </c>
      <c r="G310" s="50">
        <v>11370.06</v>
      </c>
      <c r="H310" s="342">
        <v>0</v>
      </c>
      <c r="I310" s="335"/>
    </row>
    <row r="311" spans="1:9" x14ac:dyDescent="0.25">
      <c r="A311" s="341" t="s">
        <v>521</v>
      </c>
      <c r="B311" s="335"/>
      <c r="C311" s="2" t="s">
        <v>99</v>
      </c>
      <c r="D311" s="3">
        <v>2720.17</v>
      </c>
      <c r="E311" s="3">
        <v>1835</v>
      </c>
      <c r="F311" s="3">
        <v>2192.84</v>
      </c>
      <c r="G311" s="50">
        <v>1142.74</v>
      </c>
      <c r="H311" s="342">
        <v>0</v>
      </c>
      <c r="I311" s="335"/>
    </row>
    <row r="312" spans="1:9" ht="24" x14ac:dyDescent="0.25">
      <c r="A312" s="341" t="s">
        <v>522</v>
      </c>
      <c r="B312" s="335"/>
      <c r="C312" s="2" t="s">
        <v>523</v>
      </c>
      <c r="D312" s="3">
        <v>10231.32</v>
      </c>
      <c r="E312" s="3">
        <v>11131.32</v>
      </c>
      <c r="F312" s="3">
        <v>11087.38</v>
      </c>
      <c r="G312" s="50">
        <v>8904.93</v>
      </c>
      <c r="H312" s="342">
        <v>0</v>
      </c>
      <c r="I312" s="335"/>
    </row>
    <row r="313" spans="1:9" ht="24" x14ac:dyDescent="0.25">
      <c r="A313" s="341" t="s">
        <v>524</v>
      </c>
      <c r="B313" s="335"/>
      <c r="C313" s="2" t="s">
        <v>525</v>
      </c>
      <c r="D313" s="3">
        <v>7486.66</v>
      </c>
      <c r="E313" s="3">
        <v>7039.97</v>
      </c>
      <c r="F313" s="3">
        <v>7240.84</v>
      </c>
      <c r="G313" s="50">
        <v>6604.28</v>
      </c>
      <c r="H313" s="342">
        <v>0</v>
      </c>
      <c r="I313" s="335"/>
    </row>
    <row r="314" spans="1:9" ht="24" x14ac:dyDescent="0.25">
      <c r="A314" s="341" t="s">
        <v>526</v>
      </c>
      <c r="B314" s="335"/>
      <c r="C314" s="2" t="s">
        <v>527</v>
      </c>
      <c r="D314" s="3">
        <v>21191.53</v>
      </c>
      <c r="E314" s="3">
        <v>10088.16</v>
      </c>
      <c r="F314" s="3">
        <v>21713.06</v>
      </c>
      <c r="G314" s="50">
        <v>27257.72</v>
      </c>
      <c r="H314" s="342">
        <v>0</v>
      </c>
      <c r="I314" s="335"/>
    </row>
    <row r="315" spans="1:9" ht="24" x14ac:dyDescent="0.25">
      <c r="A315" s="341" t="s">
        <v>528</v>
      </c>
      <c r="B315" s="335"/>
      <c r="C315" s="2" t="s">
        <v>529</v>
      </c>
      <c r="D315" s="3">
        <v>14228.41</v>
      </c>
      <c r="E315" s="3">
        <v>15003.63</v>
      </c>
      <c r="F315" s="3">
        <v>23827.79</v>
      </c>
      <c r="G315" s="50">
        <v>14386.99</v>
      </c>
      <c r="H315" s="342">
        <v>0</v>
      </c>
      <c r="I315" s="335"/>
    </row>
    <row r="316" spans="1:9" ht="24" x14ac:dyDescent="0.25">
      <c r="A316" s="341" t="s">
        <v>530</v>
      </c>
      <c r="B316" s="335"/>
      <c r="C316" s="2" t="s">
        <v>531</v>
      </c>
      <c r="D316" s="3">
        <v>225</v>
      </c>
      <c r="E316" s="3">
        <v>0</v>
      </c>
      <c r="F316" s="3">
        <v>559.73</v>
      </c>
      <c r="G316" s="50">
        <v>230</v>
      </c>
      <c r="H316" s="342">
        <v>0</v>
      </c>
      <c r="I316" s="335"/>
    </row>
    <row r="317" spans="1:9" x14ac:dyDescent="0.25">
      <c r="A317" s="341" t="s">
        <v>532</v>
      </c>
      <c r="B317" s="335"/>
      <c r="C317" s="2" t="s">
        <v>533</v>
      </c>
      <c r="D317" s="3">
        <v>497.94</v>
      </c>
      <c r="E317" s="3">
        <v>48.22</v>
      </c>
      <c r="F317" s="3">
        <v>0</v>
      </c>
      <c r="G317" s="50">
        <v>1.83</v>
      </c>
      <c r="H317" s="342">
        <v>0</v>
      </c>
      <c r="I317" s="335"/>
    </row>
    <row r="318" spans="1:9" x14ac:dyDescent="0.25">
      <c r="A318" s="341" t="s">
        <v>536</v>
      </c>
      <c r="B318" s="335"/>
      <c r="C318" s="2" t="s">
        <v>108</v>
      </c>
      <c r="D318" s="3">
        <v>121275.91</v>
      </c>
      <c r="E318" s="3">
        <v>132623.01</v>
      </c>
      <c r="F318" s="3">
        <v>144070.32999999999</v>
      </c>
      <c r="G318" s="50">
        <v>110261.18</v>
      </c>
      <c r="H318" s="342">
        <v>0</v>
      </c>
      <c r="I318" s="335"/>
    </row>
    <row r="319" spans="1:9" x14ac:dyDescent="0.25">
      <c r="A319" s="341" t="s">
        <v>3278</v>
      </c>
      <c r="B319" s="335"/>
      <c r="C319" s="2" t="s">
        <v>786</v>
      </c>
      <c r="D319" s="3">
        <v>45.33</v>
      </c>
      <c r="E319" s="3">
        <v>0</v>
      </c>
      <c r="F319" s="3">
        <v>0</v>
      </c>
      <c r="G319" s="50">
        <v>0</v>
      </c>
      <c r="H319" s="342">
        <v>0</v>
      </c>
      <c r="I319" s="335"/>
    </row>
    <row r="320" spans="1:9" x14ac:dyDescent="0.25">
      <c r="A320" s="341" t="s">
        <v>537</v>
      </c>
      <c r="B320" s="335"/>
      <c r="C320" s="2" t="s">
        <v>29</v>
      </c>
      <c r="D320" s="3">
        <v>38665.08</v>
      </c>
      <c r="E320" s="3">
        <v>36919.870000000003</v>
      </c>
      <c r="F320" s="3">
        <v>40441.06</v>
      </c>
      <c r="G320" s="50">
        <v>30735.200000000001</v>
      </c>
      <c r="H320" s="342">
        <v>0</v>
      </c>
      <c r="I320" s="335"/>
    </row>
    <row r="321" spans="1:9" x14ac:dyDescent="0.25">
      <c r="A321" s="341" t="s">
        <v>538</v>
      </c>
      <c r="B321" s="335"/>
      <c r="C321" s="2" t="s">
        <v>31</v>
      </c>
      <c r="D321" s="3">
        <v>2478.3000000000002</v>
      </c>
      <c r="E321" s="3">
        <v>2516.3200000000002</v>
      </c>
      <c r="F321" s="3">
        <v>3003.22</v>
      </c>
      <c r="G321" s="50">
        <v>1667.37</v>
      </c>
      <c r="H321" s="342">
        <v>0</v>
      </c>
      <c r="I321" s="335"/>
    </row>
    <row r="322" spans="1:9" x14ac:dyDescent="0.25">
      <c r="A322" s="341" t="s">
        <v>539</v>
      </c>
      <c r="B322" s="335"/>
      <c r="C322" s="2" t="s">
        <v>33</v>
      </c>
      <c r="D322" s="3">
        <v>16788.509999999998</v>
      </c>
      <c r="E322" s="3">
        <v>18393.740000000002</v>
      </c>
      <c r="F322" s="3">
        <v>19473.36</v>
      </c>
      <c r="G322" s="50">
        <v>13225.93</v>
      </c>
      <c r="H322" s="342">
        <v>0</v>
      </c>
      <c r="I322" s="335"/>
    </row>
    <row r="323" spans="1:9" ht="24" x14ac:dyDescent="0.25">
      <c r="A323" s="341" t="s">
        <v>540</v>
      </c>
      <c r="B323" s="335"/>
      <c r="C323" s="2" t="s">
        <v>113</v>
      </c>
      <c r="D323" s="3">
        <v>9074.2199999999993</v>
      </c>
      <c r="E323" s="3">
        <v>9919.89</v>
      </c>
      <c r="F323" s="3">
        <v>10772.88</v>
      </c>
      <c r="G323" s="50">
        <v>8255.68</v>
      </c>
      <c r="H323" s="342">
        <v>0</v>
      </c>
      <c r="I323" s="335"/>
    </row>
    <row r="324" spans="1:9" x14ac:dyDescent="0.25">
      <c r="A324" s="341" t="s">
        <v>541</v>
      </c>
      <c r="B324" s="335"/>
      <c r="C324" s="2" t="s">
        <v>13</v>
      </c>
      <c r="D324" s="3">
        <v>88.58</v>
      </c>
      <c r="E324" s="3">
        <v>190.42</v>
      </c>
      <c r="F324" s="3">
        <v>211.41</v>
      </c>
      <c r="G324" s="50">
        <v>233.93</v>
      </c>
      <c r="H324" s="342">
        <v>0</v>
      </c>
      <c r="I324" s="335"/>
    </row>
    <row r="325" spans="1:9" x14ac:dyDescent="0.25">
      <c r="A325" s="341" t="s">
        <v>3277</v>
      </c>
      <c r="B325" s="335"/>
      <c r="C325" s="2" t="s">
        <v>577</v>
      </c>
      <c r="D325" s="3">
        <v>0.83</v>
      </c>
      <c r="E325" s="3">
        <v>0</v>
      </c>
      <c r="F325" s="3">
        <v>0</v>
      </c>
      <c r="G325" s="50">
        <v>0</v>
      </c>
      <c r="H325" s="342">
        <v>0</v>
      </c>
      <c r="I325" s="335"/>
    </row>
    <row r="326" spans="1:9" x14ac:dyDescent="0.25">
      <c r="A326" s="341" t="s">
        <v>3276</v>
      </c>
      <c r="B326" s="335"/>
      <c r="C326" s="2" t="s">
        <v>579</v>
      </c>
      <c r="D326" s="3">
        <v>6.37</v>
      </c>
      <c r="E326" s="3">
        <v>0</v>
      </c>
      <c r="F326" s="3">
        <v>0</v>
      </c>
      <c r="G326" s="50">
        <v>0</v>
      </c>
      <c r="H326" s="342">
        <v>0</v>
      </c>
      <c r="I326" s="335"/>
    </row>
    <row r="327" spans="1:9" x14ac:dyDescent="0.25">
      <c r="A327" s="341" t="s">
        <v>3275</v>
      </c>
      <c r="B327" s="335"/>
      <c r="C327" s="2" t="s">
        <v>581</v>
      </c>
      <c r="D327" s="3">
        <v>3.43</v>
      </c>
      <c r="E327" s="3">
        <v>0</v>
      </c>
      <c r="F327" s="3">
        <v>0</v>
      </c>
      <c r="G327" s="50">
        <v>0</v>
      </c>
      <c r="H327" s="342">
        <v>0</v>
      </c>
      <c r="I327" s="335"/>
    </row>
    <row r="328" spans="1:9" x14ac:dyDescent="0.25">
      <c r="A328" s="341" t="s">
        <v>542</v>
      </c>
      <c r="B328" s="335"/>
      <c r="C328" s="2" t="s">
        <v>543</v>
      </c>
      <c r="D328" s="3">
        <v>163.41999999999999</v>
      </c>
      <c r="E328" s="3">
        <v>244.75</v>
      </c>
      <c r="F328" s="3">
        <v>374</v>
      </c>
      <c r="G328" s="50">
        <v>0</v>
      </c>
      <c r="H328" s="342">
        <v>0</v>
      </c>
      <c r="I328" s="335"/>
    </row>
    <row r="329" spans="1:9" x14ac:dyDescent="0.25">
      <c r="A329" s="341" t="s">
        <v>544</v>
      </c>
      <c r="B329" s="335"/>
      <c r="C329" s="2" t="s">
        <v>37</v>
      </c>
      <c r="D329" s="3">
        <v>0</v>
      </c>
      <c r="E329" s="3">
        <v>0</v>
      </c>
      <c r="F329" s="3">
        <v>0</v>
      </c>
      <c r="G329" s="50">
        <v>644.91</v>
      </c>
      <c r="H329" s="342">
        <v>0</v>
      </c>
      <c r="I329" s="335"/>
    </row>
    <row r="330" spans="1:9" x14ac:dyDescent="0.25">
      <c r="A330" s="341" t="s">
        <v>545</v>
      </c>
      <c r="B330" s="335"/>
      <c r="C330" s="2" t="s">
        <v>92</v>
      </c>
      <c r="D330" s="3">
        <v>9318.02</v>
      </c>
      <c r="E330" s="3">
        <v>2360.56</v>
      </c>
      <c r="F330" s="3">
        <v>9123.7199999999993</v>
      </c>
      <c r="G330" s="50">
        <v>2360.56</v>
      </c>
      <c r="H330" s="342">
        <v>0</v>
      </c>
      <c r="I330" s="335"/>
    </row>
    <row r="331" spans="1:9" ht="24" x14ac:dyDescent="0.25">
      <c r="A331" s="341" t="s">
        <v>546</v>
      </c>
      <c r="B331" s="335"/>
      <c r="C331" s="2" t="s">
        <v>547</v>
      </c>
      <c r="D331" s="3">
        <v>4337.2</v>
      </c>
      <c r="E331" s="3">
        <v>3240.22</v>
      </c>
      <c r="F331" s="3">
        <v>2169.7600000000002</v>
      </c>
      <c r="G331" s="50">
        <v>3240.22</v>
      </c>
      <c r="H331" s="342">
        <v>0</v>
      </c>
      <c r="I331" s="335"/>
    </row>
    <row r="332" spans="1:9" ht="24" x14ac:dyDescent="0.25">
      <c r="A332" s="341" t="s">
        <v>548</v>
      </c>
      <c r="B332" s="335"/>
      <c r="C332" s="2" t="s">
        <v>549</v>
      </c>
      <c r="D332" s="3">
        <v>83343.34</v>
      </c>
      <c r="E332" s="3">
        <v>95180.69</v>
      </c>
      <c r="F332" s="3">
        <v>99653.64</v>
      </c>
      <c r="G332" s="50">
        <v>30429.48</v>
      </c>
      <c r="H332" s="342">
        <v>0</v>
      </c>
      <c r="I332" s="335"/>
    </row>
    <row r="333" spans="1:9" x14ac:dyDescent="0.25">
      <c r="A333" s="341" t="s">
        <v>3207</v>
      </c>
      <c r="B333" s="335"/>
      <c r="C333" s="2" t="s">
        <v>17</v>
      </c>
      <c r="D333" s="3">
        <v>0</v>
      </c>
      <c r="E333" s="3">
        <v>0</v>
      </c>
      <c r="F333" s="3">
        <v>0</v>
      </c>
      <c r="G333" s="50">
        <v>0.75</v>
      </c>
      <c r="H333" s="342">
        <v>0</v>
      </c>
      <c r="I333" s="335"/>
    </row>
    <row r="334" spans="1:9" x14ac:dyDescent="0.25">
      <c r="A334" s="341" t="s">
        <v>550</v>
      </c>
      <c r="B334" s="335"/>
      <c r="C334" s="2" t="s">
        <v>64</v>
      </c>
      <c r="D334" s="3">
        <v>285.18</v>
      </c>
      <c r="E334" s="3">
        <v>696.34</v>
      </c>
      <c r="F334" s="3">
        <v>113.49</v>
      </c>
      <c r="G334" s="50">
        <v>85.16</v>
      </c>
      <c r="H334" s="342">
        <v>0</v>
      </c>
      <c r="I334" s="335"/>
    </row>
    <row r="335" spans="1:9" x14ac:dyDescent="0.25">
      <c r="A335" s="341" t="s">
        <v>553</v>
      </c>
      <c r="B335" s="335"/>
      <c r="C335" s="2" t="s">
        <v>554</v>
      </c>
      <c r="D335" s="3">
        <v>4714.5</v>
      </c>
      <c r="E335" s="3">
        <v>4774</v>
      </c>
      <c r="F335" s="3">
        <v>5005</v>
      </c>
      <c r="G335" s="50">
        <v>5110</v>
      </c>
      <c r="H335" s="342">
        <v>0</v>
      </c>
      <c r="I335" s="335"/>
    </row>
    <row r="336" spans="1:9" x14ac:dyDescent="0.25">
      <c r="A336" s="341" t="s">
        <v>558</v>
      </c>
      <c r="B336" s="335"/>
      <c r="C336" s="2" t="s">
        <v>559</v>
      </c>
      <c r="D336" s="3">
        <v>0</v>
      </c>
      <c r="E336" s="3">
        <v>84837.61</v>
      </c>
      <c r="F336" s="3">
        <v>701570.81</v>
      </c>
      <c r="G336" s="50">
        <v>2980.21</v>
      </c>
      <c r="H336" s="342">
        <v>0</v>
      </c>
      <c r="I336" s="335"/>
    </row>
    <row r="337" spans="1:9" x14ac:dyDescent="0.25">
      <c r="A337" s="341" t="s">
        <v>562</v>
      </c>
      <c r="B337" s="335"/>
      <c r="C337" s="2" t="s">
        <v>563</v>
      </c>
      <c r="D337" s="3">
        <v>0</v>
      </c>
      <c r="E337" s="3">
        <v>0</v>
      </c>
      <c r="F337" s="3">
        <v>2251.37</v>
      </c>
      <c r="G337" s="3">
        <v>0</v>
      </c>
      <c r="H337" s="342">
        <v>0</v>
      </c>
      <c r="I337" s="335"/>
    </row>
    <row r="338" spans="1:9" x14ac:dyDescent="0.25">
      <c r="A338" s="340" t="s">
        <v>3274</v>
      </c>
      <c r="B338" s="335"/>
      <c r="C338" s="1" t="s">
        <v>2</v>
      </c>
    </row>
    <row r="339" spans="1:9" x14ac:dyDescent="0.25">
      <c r="A339" s="341" t="s">
        <v>564</v>
      </c>
      <c r="B339" s="335"/>
      <c r="C339" s="2" t="s">
        <v>565</v>
      </c>
      <c r="D339" s="3">
        <v>243178.12</v>
      </c>
      <c r="E339" s="3">
        <v>199562.06</v>
      </c>
      <c r="F339" s="3">
        <v>264197.74</v>
      </c>
      <c r="G339" s="50">
        <v>252179.21</v>
      </c>
      <c r="H339" s="342">
        <v>0</v>
      </c>
      <c r="I339" s="335"/>
    </row>
    <row r="340" spans="1:9" x14ac:dyDescent="0.25">
      <c r="A340" s="341" t="s">
        <v>566</v>
      </c>
      <c r="B340" s="335"/>
      <c r="C340" s="2" t="s">
        <v>567</v>
      </c>
      <c r="D340" s="3">
        <v>26062.46</v>
      </c>
      <c r="E340" s="3">
        <v>660</v>
      </c>
      <c r="F340" s="3">
        <v>7840.51</v>
      </c>
      <c r="G340" s="50">
        <v>6222.66</v>
      </c>
      <c r="H340" s="342">
        <v>0</v>
      </c>
      <c r="I340" s="335"/>
    </row>
    <row r="341" spans="1:9" x14ac:dyDescent="0.25">
      <c r="A341" s="341" t="s">
        <v>568</v>
      </c>
      <c r="B341" s="335"/>
      <c r="C341" s="2" t="s">
        <v>569</v>
      </c>
      <c r="D341" s="3">
        <v>713.15</v>
      </c>
      <c r="E341" s="3">
        <v>651.99</v>
      </c>
      <c r="F341" s="3">
        <v>4872.6899999999996</v>
      </c>
      <c r="G341" s="50">
        <v>1896.16</v>
      </c>
      <c r="H341" s="342">
        <v>0</v>
      </c>
      <c r="I341" s="335"/>
    </row>
    <row r="342" spans="1:9" x14ac:dyDescent="0.25">
      <c r="A342" s="341" t="s">
        <v>570</v>
      </c>
      <c r="B342" s="335"/>
      <c r="C342" s="2" t="s">
        <v>571</v>
      </c>
      <c r="D342" s="3">
        <v>9792</v>
      </c>
      <c r="E342" s="3">
        <v>0</v>
      </c>
      <c r="F342" s="3">
        <v>8902.5</v>
      </c>
      <c r="G342" s="50">
        <v>11565</v>
      </c>
      <c r="H342" s="342">
        <v>0</v>
      </c>
      <c r="I342" s="335"/>
    </row>
    <row r="343" spans="1:9" x14ac:dyDescent="0.25">
      <c r="A343" s="340" t="s">
        <v>3273</v>
      </c>
      <c r="B343" s="335"/>
      <c r="C343" s="1" t="s">
        <v>2</v>
      </c>
      <c r="D343" s="4">
        <v>279745.73</v>
      </c>
      <c r="E343" s="4">
        <v>200874.05</v>
      </c>
      <c r="F343" s="4">
        <v>285813.44</v>
      </c>
      <c r="G343" s="4">
        <v>271863.03000000003</v>
      </c>
      <c r="H343" s="343">
        <v>0</v>
      </c>
      <c r="I343" s="335"/>
    </row>
    <row r="344" spans="1:9" x14ac:dyDescent="0.25">
      <c r="A344" s="340" t="s">
        <v>2</v>
      </c>
      <c r="B344" s="335"/>
      <c r="C344" s="1" t="s">
        <v>2</v>
      </c>
      <c r="D344" s="1" t="s">
        <v>2</v>
      </c>
      <c r="E344" s="1" t="s">
        <v>2</v>
      </c>
      <c r="F344" s="1" t="s">
        <v>2</v>
      </c>
      <c r="G344" s="1" t="s">
        <v>2</v>
      </c>
      <c r="H344" s="340" t="s">
        <v>2</v>
      </c>
      <c r="I344" s="335"/>
    </row>
    <row r="345" spans="1:9" x14ac:dyDescent="0.25">
      <c r="A345" s="341" t="s">
        <v>572</v>
      </c>
      <c r="B345" s="335"/>
      <c r="C345" s="2" t="s">
        <v>29</v>
      </c>
      <c r="D345" s="3">
        <v>69886.350000000006</v>
      </c>
      <c r="E345" s="3">
        <v>53156.480000000003</v>
      </c>
      <c r="F345" s="3">
        <v>68498.490000000005</v>
      </c>
      <c r="G345" s="50">
        <v>66646.75</v>
      </c>
      <c r="H345" s="342">
        <v>0</v>
      </c>
      <c r="I345" s="335"/>
    </row>
    <row r="346" spans="1:9" x14ac:dyDescent="0.25">
      <c r="A346" s="341" t="s">
        <v>573</v>
      </c>
      <c r="B346" s="335"/>
      <c r="C346" s="2" t="s">
        <v>31</v>
      </c>
      <c r="D346" s="3">
        <v>9775.5400000000009</v>
      </c>
      <c r="E346" s="3">
        <v>5080.38</v>
      </c>
      <c r="F346" s="3">
        <v>9007.59</v>
      </c>
      <c r="G346" s="50">
        <v>6276.55</v>
      </c>
      <c r="H346" s="342">
        <v>0</v>
      </c>
      <c r="I346" s="335"/>
    </row>
    <row r="347" spans="1:9" x14ac:dyDescent="0.25">
      <c r="A347" s="341" t="s">
        <v>574</v>
      </c>
      <c r="B347" s="335"/>
      <c r="C347" s="2" t="s">
        <v>33</v>
      </c>
      <c r="D347" s="3">
        <v>35494.36</v>
      </c>
      <c r="E347" s="3">
        <v>30165.41</v>
      </c>
      <c r="F347" s="3">
        <v>33849.47</v>
      </c>
      <c r="G347" s="50">
        <v>27239.040000000001</v>
      </c>
      <c r="H347" s="342">
        <v>0</v>
      </c>
      <c r="I347" s="335"/>
    </row>
    <row r="348" spans="1:9" x14ac:dyDescent="0.25">
      <c r="A348" s="341" t="s">
        <v>575</v>
      </c>
      <c r="B348" s="335"/>
      <c r="C348" s="2" t="s">
        <v>11</v>
      </c>
      <c r="D348" s="3">
        <v>20867.599999999999</v>
      </c>
      <c r="E348" s="3">
        <v>15089.37</v>
      </c>
      <c r="F348" s="3">
        <v>21147.43</v>
      </c>
      <c r="G348" s="50">
        <v>20328.82</v>
      </c>
      <c r="H348" s="342">
        <v>0</v>
      </c>
      <c r="I348" s="335"/>
    </row>
    <row r="349" spans="1:9" x14ac:dyDescent="0.25">
      <c r="A349" s="341" t="s">
        <v>576</v>
      </c>
      <c r="B349" s="335"/>
      <c r="C349" s="2" t="s">
        <v>577</v>
      </c>
      <c r="D349" s="3">
        <v>21.65</v>
      </c>
      <c r="E349" s="3">
        <v>14.67</v>
      </c>
      <c r="F349" s="3">
        <v>110.14</v>
      </c>
      <c r="G349" s="50">
        <v>33.56</v>
      </c>
      <c r="H349" s="342">
        <v>0</v>
      </c>
      <c r="I349" s="335"/>
    </row>
    <row r="350" spans="1:9" x14ac:dyDescent="0.25">
      <c r="A350" s="341" t="s">
        <v>578</v>
      </c>
      <c r="B350" s="335"/>
      <c r="C350" s="2" t="s">
        <v>579</v>
      </c>
      <c r="D350" s="3">
        <v>101.99</v>
      </c>
      <c r="E350" s="3">
        <v>94.53</v>
      </c>
      <c r="F350" s="3">
        <v>631.47</v>
      </c>
      <c r="G350" s="50">
        <v>226.21</v>
      </c>
      <c r="H350" s="342">
        <v>0</v>
      </c>
      <c r="I350" s="335"/>
    </row>
    <row r="351" spans="1:9" x14ac:dyDescent="0.25">
      <c r="A351" s="341" t="s">
        <v>580</v>
      </c>
      <c r="B351" s="335"/>
      <c r="C351" s="2" t="s">
        <v>581</v>
      </c>
      <c r="D351" s="3">
        <v>54</v>
      </c>
      <c r="E351" s="3">
        <v>49.22</v>
      </c>
      <c r="F351" s="3">
        <v>368</v>
      </c>
      <c r="G351" s="50">
        <v>141.62</v>
      </c>
      <c r="H351" s="342">
        <v>0</v>
      </c>
      <c r="I351" s="335"/>
    </row>
    <row r="352" spans="1:9" x14ac:dyDescent="0.25">
      <c r="A352" s="341" t="s">
        <v>582</v>
      </c>
      <c r="B352" s="335"/>
      <c r="C352" s="2" t="s">
        <v>13</v>
      </c>
      <c r="D352" s="3">
        <v>394.29</v>
      </c>
      <c r="E352" s="3">
        <v>295.56</v>
      </c>
      <c r="F352" s="3">
        <v>419.3</v>
      </c>
      <c r="G352" s="50">
        <v>586.92999999999995</v>
      </c>
      <c r="H352" s="342">
        <v>0</v>
      </c>
      <c r="I352" s="335"/>
    </row>
    <row r="353" spans="1:9" x14ac:dyDescent="0.25">
      <c r="A353" s="341" t="s">
        <v>583</v>
      </c>
      <c r="B353" s="335"/>
      <c r="C353" s="2" t="s">
        <v>458</v>
      </c>
      <c r="D353" s="3">
        <v>820.08</v>
      </c>
      <c r="E353" s="3">
        <v>1000.79</v>
      </c>
      <c r="F353" s="3">
        <v>1066.9000000000001</v>
      </c>
      <c r="G353" s="50">
        <v>254.78</v>
      </c>
      <c r="H353" s="342">
        <v>0</v>
      </c>
      <c r="I353" s="335"/>
    </row>
    <row r="354" spans="1:9" x14ac:dyDescent="0.25">
      <c r="A354" s="341" t="s">
        <v>584</v>
      </c>
      <c r="B354" s="335"/>
      <c r="C354" s="2" t="s">
        <v>585</v>
      </c>
      <c r="D354" s="3">
        <v>150</v>
      </c>
      <c r="E354" s="3">
        <v>0</v>
      </c>
      <c r="F354" s="3">
        <v>75</v>
      </c>
      <c r="G354" s="50">
        <v>124.94</v>
      </c>
      <c r="H354" s="342">
        <v>0</v>
      </c>
      <c r="I354" s="335"/>
    </row>
    <row r="355" spans="1:9" x14ac:dyDescent="0.25">
      <c r="A355" s="341" t="s">
        <v>586</v>
      </c>
      <c r="B355" s="335"/>
      <c r="C355" s="2" t="s">
        <v>587</v>
      </c>
      <c r="D355" s="3">
        <v>3804.5</v>
      </c>
      <c r="E355" s="3">
        <v>4892.04</v>
      </c>
      <c r="F355" s="3">
        <v>4453.3999999999996</v>
      </c>
      <c r="G355" s="50">
        <v>0</v>
      </c>
      <c r="H355" s="342">
        <v>0</v>
      </c>
      <c r="I355" s="335"/>
    </row>
    <row r="356" spans="1:9" x14ac:dyDescent="0.25">
      <c r="A356" s="341" t="s">
        <v>588</v>
      </c>
      <c r="B356" s="335"/>
      <c r="C356" s="2" t="s">
        <v>589</v>
      </c>
      <c r="D356" s="3">
        <v>86.22</v>
      </c>
      <c r="E356" s="3">
        <v>0</v>
      </c>
      <c r="F356" s="3">
        <v>0</v>
      </c>
      <c r="G356" s="50">
        <v>0</v>
      </c>
      <c r="H356" s="342">
        <v>0</v>
      </c>
      <c r="I356" s="335"/>
    </row>
    <row r="357" spans="1:9" x14ac:dyDescent="0.25">
      <c r="A357" s="341" t="s">
        <v>590</v>
      </c>
      <c r="B357" s="335"/>
      <c r="C357" s="2" t="s">
        <v>591</v>
      </c>
      <c r="D357" s="3">
        <v>931.36</v>
      </c>
      <c r="E357" s="3">
        <v>953.26</v>
      </c>
      <c r="F357" s="3">
        <v>967.54</v>
      </c>
      <c r="G357" s="50">
        <v>29.31</v>
      </c>
      <c r="H357" s="342">
        <v>0</v>
      </c>
      <c r="I357" s="335"/>
    </row>
    <row r="358" spans="1:9" x14ac:dyDescent="0.25">
      <c r="A358" s="341" t="s">
        <v>592</v>
      </c>
      <c r="B358" s="335"/>
      <c r="C358" s="2" t="s">
        <v>593</v>
      </c>
      <c r="D358" s="3">
        <v>43124.25</v>
      </c>
      <c r="E358" s="3">
        <v>12490.02</v>
      </c>
      <c r="F358" s="3">
        <v>50178.09</v>
      </c>
      <c r="G358" s="50">
        <v>32752.25</v>
      </c>
      <c r="H358" s="342">
        <v>0</v>
      </c>
      <c r="I358" s="335"/>
    </row>
    <row r="359" spans="1:9" x14ac:dyDescent="0.25">
      <c r="A359" s="341" t="s">
        <v>594</v>
      </c>
      <c r="B359" s="335"/>
      <c r="C359" s="2" t="s">
        <v>595</v>
      </c>
      <c r="D359" s="3">
        <v>841.32</v>
      </c>
      <c r="E359" s="3">
        <v>0</v>
      </c>
      <c r="F359" s="3">
        <v>0</v>
      </c>
      <c r="G359" s="50">
        <v>0</v>
      </c>
      <c r="H359" s="342">
        <v>0</v>
      </c>
      <c r="I359" s="335"/>
    </row>
    <row r="360" spans="1:9" x14ac:dyDescent="0.25">
      <c r="A360" s="341" t="s">
        <v>596</v>
      </c>
      <c r="B360" s="335"/>
      <c r="C360" s="2" t="s">
        <v>462</v>
      </c>
      <c r="D360" s="3">
        <v>1260.8699999999999</v>
      </c>
      <c r="E360" s="3">
        <v>1862.8</v>
      </c>
      <c r="F360" s="3">
        <v>547</v>
      </c>
      <c r="G360" s="50">
        <v>0</v>
      </c>
      <c r="H360" s="342">
        <v>0</v>
      </c>
      <c r="I360" s="335"/>
    </row>
    <row r="361" spans="1:9" ht="24" x14ac:dyDescent="0.25">
      <c r="A361" s="341" t="s">
        <v>597</v>
      </c>
      <c r="B361" s="335"/>
      <c r="C361" s="2" t="s">
        <v>598</v>
      </c>
      <c r="D361" s="3">
        <v>38372.269999999997</v>
      </c>
      <c r="E361" s="3">
        <v>16574.75</v>
      </c>
      <c r="F361" s="3">
        <v>17660.71</v>
      </c>
      <c r="G361" s="50">
        <v>16574.75</v>
      </c>
      <c r="H361" s="342">
        <v>0</v>
      </c>
      <c r="I361" s="335"/>
    </row>
    <row r="362" spans="1:9" ht="24" x14ac:dyDescent="0.25">
      <c r="A362" s="341" t="s">
        <v>599</v>
      </c>
      <c r="B362" s="335"/>
      <c r="C362" s="2" t="s">
        <v>15</v>
      </c>
      <c r="D362" s="3">
        <v>1881.06</v>
      </c>
      <c r="E362" s="3">
        <v>1265.71</v>
      </c>
      <c r="F362" s="3">
        <v>1513.37</v>
      </c>
      <c r="G362" s="50">
        <v>1265.71</v>
      </c>
      <c r="H362" s="342">
        <v>0</v>
      </c>
      <c r="I362" s="335"/>
    </row>
    <row r="363" spans="1:9" x14ac:dyDescent="0.25">
      <c r="A363" s="341" t="s">
        <v>600</v>
      </c>
      <c r="B363" s="335"/>
      <c r="C363" s="2" t="s">
        <v>601</v>
      </c>
      <c r="D363" s="3">
        <v>0</v>
      </c>
      <c r="E363" s="3">
        <v>0</v>
      </c>
      <c r="F363" s="3">
        <v>0</v>
      </c>
      <c r="G363" s="50">
        <v>298.67</v>
      </c>
      <c r="H363" s="342">
        <v>0</v>
      </c>
      <c r="I363" s="335"/>
    </row>
    <row r="364" spans="1:9" x14ac:dyDescent="0.25">
      <c r="A364" s="341" t="s">
        <v>602</v>
      </c>
      <c r="B364" s="335"/>
      <c r="C364" s="2" t="s">
        <v>95</v>
      </c>
      <c r="D364" s="3">
        <v>0</v>
      </c>
      <c r="E364" s="3">
        <v>10923.37</v>
      </c>
      <c r="F364" s="3">
        <v>12116.76</v>
      </c>
      <c r="G364" s="50">
        <v>1726.52</v>
      </c>
      <c r="H364" s="342">
        <v>0</v>
      </c>
      <c r="I364" s="335"/>
    </row>
    <row r="365" spans="1:9" x14ac:dyDescent="0.25">
      <c r="A365" s="341" t="s">
        <v>603</v>
      </c>
      <c r="B365" s="335"/>
      <c r="C365" s="2" t="s">
        <v>604</v>
      </c>
      <c r="D365" s="3">
        <v>0</v>
      </c>
      <c r="E365" s="3">
        <v>0</v>
      </c>
      <c r="F365" s="3">
        <v>1355.38</v>
      </c>
      <c r="G365" s="50">
        <v>0</v>
      </c>
      <c r="H365" s="342">
        <v>0</v>
      </c>
      <c r="I365" s="335"/>
    </row>
    <row r="366" spans="1:9" x14ac:dyDescent="0.25">
      <c r="A366" s="341" t="s">
        <v>605</v>
      </c>
      <c r="B366" s="335"/>
      <c r="C366" s="2" t="s">
        <v>606</v>
      </c>
      <c r="D366" s="3">
        <v>2874.63</v>
      </c>
      <c r="E366" s="3">
        <v>3069.8</v>
      </c>
      <c r="F366" s="3">
        <v>4506.8599999999997</v>
      </c>
      <c r="G366" s="50">
        <v>3244.02</v>
      </c>
      <c r="H366" s="342">
        <v>0</v>
      </c>
      <c r="I366" s="335"/>
    </row>
    <row r="367" spans="1:9" x14ac:dyDescent="0.25">
      <c r="A367" s="341" t="s">
        <v>607</v>
      </c>
      <c r="B367" s="335"/>
      <c r="C367" s="2" t="s">
        <v>17</v>
      </c>
      <c r="D367" s="3">
        <v>0</v>
      </c>
      <c r="E367" s="3">
        <v>0</v>
      </c>
      <c r="F367" s="3">
        <v>0</v>
      </c>
      <c r="G367" s="50">
        <v>0</v>
      </c>
      <c r="H367" s="342">
        <v>0</v>
      </c>
      <c r="I367" s="335"/>
    </row>
    <row r="368" spans="1:9" x14ac:dyDescent="0.25">
      <c r="A368" s="341" t="s">
        <v>608</v>
      </c>
      <c r="B368" s="335"/>
      <c r="C368" s="2" t="s">
        <v>144</v>
      </c>
      <c r="D368" s="3">
        <v>1111.03</v>
      </c>
      <c r="E368" s="3">
        <v>465.01</v>
      </c>
      <c r="F368" s="3">
        <v>185</v>
      </c>
      <c r="G368" s="50">
        <v>0</v>
      </c>
      <c r="H368" s="342">
        <v>0</v>
      </c>
      <c r="I368" s="335"/>
    </row>
    <row r="369" spans="1:9" x14ac:dyDescent="0.25">
      <c r="A369" s="341" t="s">
        <v>609</v>
      </c>
      <c r="B369" s="335"/>
      <c r="C369" s="2" t="s">
        <v>305</v>
      </c>
      <c r="D369" s="3">
        <v>20582.03</v>
      </c>
      <c r="E369" s="3">
        <v>6767.73</v>
      </c>
      <c r="F369" s="3">
        <v>26712.85</v>
      </c>
      <c r="G369" s="50">
        <v>27374.7</v>
      </c>
      <c r="H369" s="342">
        <v>0</v>
      </c>
      <c r="I369" s="335"/>
    </row>
    <row r="370" spans="1:9" x14ac:dyDescent="0.25">
      <c r="A370" s="341" t="s">
        <v>610</v>
      </c>
      <c r="B370" s="335"/>
      <c r="C370" s="2" t="s">
        <v>611</v>
      </c>
      <c r="D370" s="3">
        <v>6852.14</v>
      </c>
      <c r="E370" s="3">
        <v>7884.46</v>
      </c>
      <c r="F370" s="3">
        <v>7205.2</v>
      </c>
      <c r="G370" s="50">
        <v>7288.39</v>
      </c>
      <c r="H370" s="342">
        <v>0</v>
      </c>
      <c r="I370" s="335"/>
    </row>
    <row r="371" spans="1:9" x14ac:dyDescent="0.25">
      <c r="A371" s="341" t="s">
        <v>3272</v>
      </c>
      <c r="B371" s="335"/>
      <c r="C371" s="2" t="s">
        <v>3271</v>
      </c>
      <c r="D371" s="3">
        <v>0</v>
      </c>
      <c r="E371" s="3">
        <v>0</v>
      </c>
      <c r="F371" s="3">
        <v>0</v>
      </c>
      <c r="G371" s="50">
        <v>0</v>
      </c>
      <c r="H371" s="342">
        <v>0</v>
      </c>
      <c r="I371" s="335"/>
    </row>
    <row r="372" spans="1:9" x14ac:dyDescent="0.25">
      <c r="A372" s="341" t="s">
        <v>612</v>
      </c>
      <c r="B372" s="335"/>
      <c r="C372" s="2" t="s">
        <v>613</v>
      </c>
      <c r="D372" s="3">
        <v>20591.28</v>
      </c>
      <c r="E372" s="3">
        <v>22555.75</v>
      </c>
      <c r="F372" s="3">
        <v>32997.040000000001</v>
      </c>
      <c r="G372" s="50">
        <v>16194.62</v>
      </c>
      <c r="H372" s="342">
        <v>0</v>
      </c>
      <c r="I372" s="335"/>
    </row>
    <row r="373" spans="1:9" x14ac:dyDescent="0.25">
      <c r="A373" s="341" t="s">
        <v>614</v>
      </c>
      <c r="B373" s="335"/>
      <c r="C373" s="2" t="s">
        <v>615</v>
      </c>
      <c r="D373" s="3">
        <v>899.71</v>
      </c>
      <c r="E373" s="3">
        <v>2339</v>
      </c>
      <c r="F373" s="3">
        <v>4186.3100000000004</v>
      </c>
      <c r="G373" s="50">
        <v>1501.61</v>
      </c>
      <c r="H373" s="342">
        <v>0</v>
      </c>
      <c r="I373" s="335"/>
    </row>
    <row r="374" spans="1:9" ht="24" x14ac:dyDescent="0.25">
      <c r="A374" s="341" t="s">
        <v>616</v>
      </c>
      <c r="B374" s="335"/>
      <c r="C374" s="2" t="s">
        <v>617</v>
      </c>
      <c r="D374" s="3">
        <v>497.79</v>
      </c>
      <c r="E374" s="3">
        <v>565.94000000000005</v>
      </c>
      <c r="F374" s="3">
        <v>736.3</v>
      </c>
      <c r="G374" s="50">
        <v>970.68</v>
      </c>
      <c r="H374" s="342">
        <v>0</v>
      </c>
      <c r="I374" s="335"/>
    </row>
    <row r="375" spans="1:9" x14ac:dyDescent="0.25">
      <c r="A375" s="341" t="s">
        <v>618</v>
      </c>
      <c r="B375" s="335"/>
      <c r="C375" s="2" t="s">
        <v>619</v>
      </c>
      <c r="D375" s="3">
        <v>2119.65</v>
      </c>
      <c r="E375" s="3">
        <v>0</v>
      </c>
      <c r="F375" s="3">
        <v>0</v>
      </c>
      <c r="G375" s="50">
        <v>0</v>
      </c>
      <c r="H375" s="342">
        <v>0</v>
      </c>
      <c r="I375" s="335"/>
    </row>
    <row r="376" spans="1:9" ht="24" x14ac:dyDescent="0.25">
      <c r="A376" s="341" t="s">
        <v>620</v>
      </c>
      <c r="B376" s="335"/>
      <c r="C376" s="2" t="s">
        <v>621</v>
      </c>
      <c r="D376" s="3">
        <v>0</v>
      </c>
      <c r="E376" s="3">
        <v>0</v>
      </c>
      <c r="F376" s="3">
        <v>0</v>
      </c>
      <c r="G376" s="50">
        <v>0</v>
      </c>
      <c r="H376" s="342">
        <v>0</v>
      </c>
      <c r="I376" s="335"/>
    </row>
    <row r="377" spans="1:9" x14ac:dyDescent="0.25">
      <c r="A377" s="341" t="s">
        <v>622</v>
      </c>
      <c r="B377" s="335"/>
      <c r="C377" s="2" t="s">
        <v>64</v>
      </c>
      <c r="D377" s="3">
        <v>625.82000000000005</v>
      </c>
      <c r="E377" s="3">
        <v>1455.33</v>
      </c>
      <c r="F377" s="3">
        <v>751.96</v>
      </c>
      <c r="G377" s="50">
        <v>463.32</v>
      </c>
      <c r="H377" s="342">
        <v>0</v>
      </c>
      <c r="I377" s="335"/>
    </row>
    <row r="378" spans="1:9" x14ac:dyDescent="0.25">
      <c r="A378" s="341" t="s">
        <v>623</v>
      </c>
      <c r="B378" s="335"/>
      <c r="C378" s="2" t="s">
        <v>624</v>
      </c>
      <c r="D378" s="3">
        <v>46.94</v>
      </c>
      <c r="E378" s="3">
        <v>123.92</v>
      </c>
      <c r="F378" s="3">
        <v>0</v>
      </c>
      <c r="G378" s="50">
        <v>195.65</v>
      </c>
      <c r="H378" s="342">
        <v>0</v>
      </c>
      <c r="I378" s="335"/>
    </row>
    <row r="379" spans="1:9" x14ac:dyDescent="0.25">
      <c r="A379" s="341" t="s">
        <v>625</v>
      </c>
      <c r="B379" s="335"/>
      <c r="C379" s="2" t="s">
        <v>626</v>
      </c>
      <c r="D379" s="3">
        <v>720</v>
      </c>
      <c r="E379" s="3">
        <v>360</v>
      </c>
      <c r="F379" s="3">
        <v>244.5</v>
      </c>
      <c r="G379" s="50">
        <v>0</v>
      </c>
      <c r="H379" s="342">
        <v>0</v>
      </c>
      <c r="I379" s="335"/>
    </row>
    <row r="380" spans="1:9" x14ac:dyDescent="0.25">
      <c r="A380" s="341" t="s">
        <v>627</v>
      </c>
      <c r="B380" s="335"/>
      <c r="C380" s="2" t="s">
        <v>628</v>
      </c>
      <c r="D380" s="3">
        <v>11763.96</v>
      </c>
      <c r="E380" s="3">
        <v>5638.42</v>
      </c>
      <c r="F380" s="3">
        <v>17224.09</v>
      </c>
      <c r="G380" s="50">
        <v>22350.82</v>
      </c>
      <c r="H380" s="342">
        <v>0</v>
      </c>
      <c r="I380" s="335"/>
    </row>
    <row r="381" spans="1:9" x14ac:dyDescent="0.25">
      <c r="A381" s="341" t="s">
        <v>3270</v>
      </c>
      <c r="B381" s="335"/>
      <c r="C381" s="2" t="s">
        <v>3269</v>
      </c>
      <c r="D381" s="3">
        <v>823.66</v>
      </c>
      <c r="E381" s="3">
        <v>0</v>
      </c>
      <c r="F381" s="3">
        <v>0</v>
      </c>
      <c r="G381" s="3">
        <v>0</v>
      </c>
      <c r="H381" s="342">
        <v>0</v>
      </c>
      <c r="I381" s="335"/>
    </row>
    <row r="382" spans="1:9" x14ac:dyDescent="0.25">
      <c r="A382" s="341" t="s">
        <v>3268</v>
      </c>
      <c r="B382" s="335"/>
      <c r="C382" s="2" t="s">
        <v>3267</v>
      </c>
      <c r="D382" s="3">
        <v>544</v>
      </c>
      <c r="E382" s="3">
        <v>0</v>
      </c>
      <c r="F382" s="3">
        <v>0</v>
      </c>
      <c r="G382" s="3">
        <v>0</v>
      </c>
      <c r="H382" s="342">
        <v>0</v>
      </c>
      <c r="I382" s="335"/>
    </row>
    <row r="383" spans="1:9" x14ac:dyDescent="0.25">
      <c r="A383" s="341" t="s">
        <v>3266</v>
      </c>
      <c r="B383" s="335"/>
      <c r="C383" s="2" t="s">
        <v>3265</v>
      </c>
      <c r="D383" s="3">
        <v>12422.8</v>
      </c>
      <c r="E383" s="3">
        <v>0</v>
      </c>
      <c r="F383" s="3">
        <v>0</v>
      </c>
      <c r="G383" s="3">
        <v>0</v>
      </c>
      <c r="H383" s="342">
        <v>0</v>
      </c>
      <c r="I383" s="335"/>
    </row>
    <row r="384" spans="1:9" x14ac:dyDescent="0.25">
      <c r="A384" s="341" t="s">
        <v>629</v>
      </c>
      <c r="B384" s="335"/>
      <c r="C384" s="2" t="s">
        <v>630</v>
      </c>
      <c r="D384" s="3">
        <v>67779.59</v>
      </c>
      <c r="E384" s="3">
        <v>0</v>
      </c>
      <c r="F384" s="3">
        <v>0</v>
      </c>
      <c r="G384" s="3">
        <v>0</v>
      </c>
      <c r="H384" s="342">
        <v>0</v>
      </c>
      <c r="I384" s="335"/>
    </row>
    <row r="385" spans="1:9" x14ac:dyDescent="0.25">
      <c r="A385" s="341" t="s">
        <v>631</v>
      </c>
      <c r="B385" s="335"/>
      <c r="C385" s="2" t="s">
        <v>632</v>
      </c>
      <c r="D385" s="3">
        <v>0</v>
      </c>
      <c r="E385" s="3">
        <v>0</v>
      </c>
      <c r="F385" s="3">
        <v>0</v>
      </c>
      <c r="G385" s="3">
        <v>0</v>
      </c>
      <c r="H385" s="342">
        <v>0</v>
      </c>
      <c r="I385" s="335"/>
    </row>
    <row r="386" spans="1:9" x14ac:dyDescent="0.25">
      <c r="A386" s="341" t="s">
        <v>633</v>
      </c>
      <c r="B386" s="335"/>
      <c r="C386" s="2" t="s">
        <v>634</v>
      </c>
      <c r="D386" s="3">
        <v>37957.43</v>
      </c>
      <c r="E386" s="3">
        <v>8051.28</v>
      </c>
      <c r="F386" s="3">
        <v>266413.5</v>
      </c>
      <c r="G386" s="50">
        <v>14007.81</v>
      </c>
      <c r="H386" s="342">
        <v>0</v>
      </c>
      <c r="I386" s="335"/>
    </row>
    <row r="387" spans="1:9" x14ac:dyDescent="0.25">
      <c r="A387" s="341" t="s">
        <v>635</v>
      </c>
      <c r="B387" s="335"/>
      <c r="C387" s="2" t="s">
        <v>636</v>
      </c>
      <c r="D387" s="3">
        <v>0</v>
      </c>
      <c r="E387" s="3">
        <v>0</v>
      </c>
      <c r="F387" s="3">
        <v>0</v>
      </c>
      <c r="G387" s="3">
        <v>0</v>
      </c>
      <c r="H387" s="342">
        <v>0</v>
      </c>
      <c r="I387" s="335"/>
    </row>
    <row r="388" spans="1:9" x14ac:dyDescent="0.25">
      <c r="A388" s="341" t="s">
        <v>637</v>
      </c>
      <c r="B388" s="335"/>
      <c r="C388" s="2" t="s">
        <v>638</v>
      </c>
      <c r="D388" s="3">
        <v>0</v>
      </c>
      <c r="E388" s="3">
        <v>0</v>
      </c>
      <c r="F388" s="3">
        <v>0</v>
      </c>
      <c r="G388" s="3">
        <v>0</v>
      </c>
      <c r="H388" s="342">
        <v>0</v>
      </c>
      <c r="I388" s="335"/>
    </row>
    <row r="389" spans="1:9" x14ac:dyDescent="0.25">
      <c r="A389" s="341" t="s">
        <v>639</v>
      </c>
      <c r="B389" s="335"/>
      <c r="C389" s="2" t="s">
        <v>640</v>
      </c>
      <c r="D389" s="3">
        <v>0</v>
      </c>
      <c r="E389" s="3">
        <v>0</v>
      </c>
      <c r="F389" s="3">
        <v>0</v>
      </c>
      <c r="G389" s="3">
        <v>0</v>
      </c>
      <c r="H389" s="342">
        <v>0</v>
      </c>
      <c r="I389" s="335"/>
    </row>
    <row r="390" spans="1:9" x14ac:dyDescent="0.25">
      <c r="A390" s="341" t="s">
        <v>641</v>
      </c>
      <c r="B390" s="335"/>
      <c r="C390" s="2" t="s">
        <v>642</v>
      </c>
      <c r="D390" s="3">
        <v>0</v>
      </c>
      <c r="E390" s="3">
        <v>0</v>
      </c>
      <c r="F390" s="3">
        <v>25406.22</v>
      </c>
      <c r="G390" s="3">
        <v>0</v>
      </c>
      <c r="H390" s="342">
        <v>0</v>
      </c>
      <c r="I390" s="335"/>
    </row>
    <row r="391" spans="1:9" x14ac:dyDescent="0.25">
      <c r="A391" s="341" t="s">
        <v>645</v>
      </c>
      <c r="B391" s="335"/>
      <c r="C391" s="2" t="s">
        <v>646</v>
      </c>
      <c r="D391" s="3">
        <v>2781.77</v>
      </c>
      <c r="E391" s="3">
        <v>1721.81</v>
      </c>
      <c r="F391" s="3">
        <v>2304.4299999999998</v>
      </c>
      <c r="G391" s="3">
        <v>0</v>
      </c>
      <c r="H391" s="342">
        <v>0</v>
      </c>
      <c r="I391" s="335"/>
    </row>
    <row r="392" spans="1:9" x14ac:dyDescent="0.25">
      <c r="A392" s="340" t="s">
        <v>3242</v>
      </c>
      <c r="B392" s="335"/>
      <c r="C392" s="1" t="s">
        <v>2</v>
      </c>
    </row>
    <row r="393" spans="1:9" x14ac:dyDescent="0.25">
      <c r="A393" s="341" t="s">
        <v>649</v>
      </c>
      <c r="B393" s="335"/>
      <c r="C393" s="2" t="s">
        <v>650</v>
      </c>
      <c r="D393" s="3">
        <v>98401.42</v>
      </c>
      <c r="E393" s="3">
        <v>100876.4</v>
      </c>
      <c r="F393" s="3">
        <v>88168.97</v>
      </c>
      <c r="G393" s="50">
        <v>95541.64</v>
      </c>
      <c r="H393" s="342">
        <v>0</v>
      </c>
      <c r="I393" s="335"/>
    </row>
    <row r="394" spans="1:9" x14ac:dyDescent="0.25">
      <c r="A394" s="341" t="s">
        <v>651</v>
      </c>
      <c r="B394" s="335"/>
      <c r="C394" s="2" t="s">
        <v>652</v>
      </c>
      <c r="D394" s="3">
        <v>86688.02</v>
      </c>
      <c r="E394" s="3">
        <v>88725.45</v>
      </c>
      <c r="F394" s="3">
        <v>91935.81</v>
      </c>
      <c r="G394" s="50">
        <v>81406.740000000005</v>
      </c>
      <c r="H394" s="342">
        <v>0</v>
      </c>
      <c r="I394" s="335"/>
    </row>
    <row r="395" spans="1:9" x14ac:dyDescent="0.25">
      <c r="A395" s="341" t="s">
        <v>653</v>
      </c>
      <c r="B395" s="335"/>
      <c r="C395" s="2" t="s">
        <v>654</v>
      </c>
      <c r="D395" s="3">
        <v>66189.710000000006</v>
      </c>
      <c r="E395" s="3">
        <v>73478.36</v>
      </c>
      <c r="F395" s="3">
        <v>75433.850000000006</v>
      </c>
      <c r="G395" s="50">
        <v>62514.38</v>
      </c>
      <c r="H395" s="342">
        <v>0</v>
      </c>
      <c r="I395" s="335"/>
    </row>
    <row r="396" spans="1:9" x14ac:dyDescent="0.25">
      <c r="A396" s="341" t="s">
        <v>655</v>
      </c>
      <c r="B396" s="335"/>
      <c r="C396" s="2" t="s">
        <v>656</v>
      </c>
      <c r="D396" s="3">
        <v>49190.45</v>
      </c>
      <c r="E396" s="3">
        <v>72739.95</v>
      </c>
      <c r="F396" s="3">
        <v>74890.509999999995</v>
      </c>
      <c r="G396" s="50">
        <v>60153.7</v>
      </c>
      <c r="H396" s="342">
        <v>0</v>
      </c>
      <c r="I396" s="335"/>
    </row>
    <row r="397" spans="1:9" x14ac:dyDescent="0.25">
      <c r="A397" s="340" t="s">
        <v>3241</v>
      </c>
      <c r="B397" s="335"/>
      <c r="C397" s="1" t="s">
        <v>2</v>
      </c>
      <c r="D397" s="4">
        <v>300469.59999999998</v>
      </c>
      <c r="E397" s="4">
        <v>335820.16</v>
      </c>
      <c r="F397" s="4">
        <v>330429.14</v>
      </c>
      <c r="G397" s="4">
        <v>299616.46000000002</v>
      </c>
      <c r="H397" s="343">
        <v>0</v>
      </c>
      <c r="I397" s="335"/>
    </row>
    <row r="398" spans="1:9" x14ac:dyDescent="0.25">
      <c r="A398" s="340" t="s">
        <v>2</v>
      </c>
      <c r="B398" s="335"/>
      <c r="C398" s="1" t="s">
        <v>2</v>
      </c>
      <c r="D398" s="1" t="s">
        <v>2</v>
      </c>
      <c r="E398" s="1" t="s">
        <v>2</v>
      </c>
      <c r="F398" s="1" t="s">
        <v>2</v>
      </c>
      <c r="G398" s="1" t="s">
        <v>2</v>
      </c>
      <c r="H398" s="340" t="s">
        <v>2</v>
      </c>
      <c r="I398" s="335"/>
    </row>
    <row r="399" spans="1:9" ht="24" x14ac:dyDescent="0.25">
      <c r="A399" s="341" t="s">
        <v>657</v>
      </c>
      <c r="B399" s="335"/>
      <c r="C399" s="2" t="s">
        <v>658</v>
      </c>
      <c r="D399" s="3">
        <v>0</v>
      </c>
      <c r="E399" s="3">
        <v>0</v>
      </c>
      <c r="F399" s="3">
        <v>0</v>
      </c>
      <c r="G399" s="3">
        <v>0</v>
      </c>
      <c r="H399" s="342">
        <v>0</v>
      </c>
      <c r="I399" s="335"/>
    </row>
    <row r="400" spans="1:9" x14ac:dyDescent="0.25">
      <c r="A400" s="341" t="s">
        <v>659</v>
      </c>
      <c r="B400" s="335"/>
      <c r="C400" s="2" t="s">
        <v>660</v>
      </c>
      <c r="D400" s="3">
        <v>3059.5</v>
      </c>
      <c r="E400" s="3">
        <v>0</v>
      </c>
      <c r="F400" s="3">
        <v>0</v>
      </c>
      <c r="G400" s="3">
        <v>0</v>
      </c>
      <c r="H400" s="342">
        <v>0</v>
      </c>
      <c r="I400" s="335"/>
    </row>
    <row r="401" spans="1:9" x14ac:dyDescent="0.25">
      <c r="A401" s="341" t="s">
        <v>661</v>
      </c>
      <c r="B401" s="335"/>
      <c r="C401" s="2" t="s">
        <v>29</v>
      </c>
      <c r="D401" s="3">
        <v>49484.28</v>
      </c>
      <c r="E401" s="3">
        <v>53450.45</v>
      </c>
      <c r="F401" s="3">
        <v>67683.360000000001</v>
      </c>
      <c r="G401" s="3">
        <v>72506.77</v>
      </c>
      <c r="H401" s="342">
        <v>0</v>
      </c>
      <c r="I401" s="335"/>
    </row>
    <row r="402" spans="1:9" x14ac:dyDescent="0.25">
      <c r="A402" s="341" t="s">
        <v>662</v>
      </c>
      <c r="B402" s="335"/>
      <c r="C402" s="2" t="s">
        <v>128</v>
      </c>
      <c r="D402" s="3">
        <v>2573.52</v>
      </c>
      <c r="E402" s="3">
        <v>1161.26</v>
      </c>
      <c r="F402" s="3">
        <v>962.78</v>
      </c>
      <c r="G402" s="3">
        <v>765.65</v>
      </c>
      <c r="H402" s="342">
        <v>0</v>
      </c>
      <c r="I402" s="335"/>
    </row>
    <row r="403" spans="1:9" x14ac:dyDescent="0.25">
      <c r="A403" s="341" t="s">
        <v>663</v>
      </c>
      <c r="B403" s="335"/>
      <c r="C403" s="2" t="s">
        <v>33</v>
      </c>
      <c r="D403" s="3">
        <v>42599.56</v>
      </c>
      <c r="E403" s="3">
        <v>48669.53</v>
      </c>
      <c r="F403" s="3">
        <v>42836.13</v>
      </c>
      <c r="G403" s="3">
        <v>37118.230000000003</v>
      </c>
      <c r="H403" s="342">
        <v>0</v>
      </c>
      <c r="I403" s="335"/>
    </row>
    <row r="404" spans="1:9" x14ac:dyDescent="0.25">
      <c r="A404" s="341" t="s">
        <v>664</v>
      </c>
      <c r="B404" s="335"/>
      <c r="C404" s="2" t="s">
        <v>11</v>
      </c>
      <c r="D404" s="3">
        <v>23044.85</v>
      </c>
      <c r="E404" s="3">
        <v>25496.43</v>
      </c>
      <c r="F404" s="3">
        <v>25048.93</v>
      </c>
      <c r="G404" s="3">
        <v>22684.400000000001</v>
      </c>
      <c r="H404" s="342">
        <v>0</v>
      </c>
      <c r="I404" s="335"/>
    </row>
    <row r="405" spans="1:9" x14ac:dyDescent="0.25">
      <c r="A405" s="341" t="s">
        <v>665</v>
      </c>
      <c r="B405" s="335"/>
      <c r="C405" s="2" t="s">
        <v>85</v>
      </c>
      <c r="D405" s="3">
        <v>2700</v>
      </c>
      <c r="E405" s="3">
        <v>2800</v>
      </c>
      <c r="F405" s="3">
        <v>2800</v>
      </c>
      <c r="G405" s="3">
        <v>0</v>
      </c>
      <c r="H405" s="342">
        <v>0</v>
      </c>
      <c r="I405" s="335"/>
    </row>
    <row r="406" spans="1:9" x14ac:dyDescent="0.25">
      <c r="A406" s="341" t="s">
        <v>666</v>
      </c>
      <c r="B406" s="335"/>
      <c r="C406" s="2" t="s">
        <v>13</v>
      </c>
      <c r="D406" s="3">
        <v>259.66000000000003</v>
      </c>
      <c r="E406" s="3">
        <v>483.52</v>
      </c>
      <c r="F406" s="3">
        <v>484.77</v>
      </c>
      <c r="G406" s="3">
        <v>638.53</v>
      </c>
      <c r="H406" s="342">
        <v>0</v>
      </c>
      <c r="I406" s="335"/>
    </row>
    <row r="407" spans="1:9" x14ac:dyDescent="0.25">
      <c r="A407" s="341" t="s">
        <v>667</v>
      </c>
      <c r="B407" s="335"/>
      <c r="C407" s="2" t="s">
        <v>668</v>
      </c>
      <c r="D407" s="3">
        <v>3800.78</v>
      </c>
      <c r="E407" s="3">
        <v>2309.4</v>
      </c>
      <c r="F407" s="3">
        <v>1325.61</v>
      </c>
      <c r="G407" s="3">
        <v>607.17999999999995</v>
      </c>
      <c r="H407" s="342">
        <v>0</v>
      </c>
      <c r="I407" s="335"/>
    </row>
    <row r="408" spans="1:9" x14ac:dyDescent="0.25">
      <c r="A408" s="341" t="s">
        <v>669</v>
      </c>
      <c r="B408" s="335"/>
      <c r="C408" s="2" t="s">
        <v>670</v>
      </c>
      <c r="D408" s="3">
        <v>0</v>
      </c>
      <c r="E408" s="3">
        <v>287.33</v>
      </c>
      <c r="F408" s="3">
        <v>240.63</v>
      </c>
      <c r="G408" s="3">
        <v>0</v>
      </c>
      <c r="H408" s="342">
        <v>0</v>
      </c>
      <c r="I408" s="335"/>
    </row>
    <row r="409" spans="1:9" ht="24" x14ac:dyDescent="0.25">
      <c r="A409" s="341" t="s">
        <v>671</v>
      </c>
      <c r="B409" s="335"/>
      <c r="C409" s="2" t="s">
        <v>598</v>
      </c>
      <c r="D409" s="3">
        <v>10507.21</v>
      </c>
      <c r="E409" s="3">
        <v>4822.92</v>
      </c>
      <c r="F409" s="3">
        <v>977.84</v>
      </c>
      <c r="G409" s="3">
        <v>4822.92</v>
      </c>
      <c r="H409" s="342">
        <v>0</v>
      </c>
      <c r="I409" s="335"/>
    </row>
    <row r="410" spans="1:9" ht="24" x14ac:dyDescent="0.25">
      <c r="A410" s="341" t="s">
        <v>672</v>
      </c>
      <c r="B410" s="335"/>
      <c r="C410" s="2" t="s">
        <v>15</v>
      </c>
      <c r="D410" s="3">
        <v>39635.96</v>
      </c>
      <c r="E410" s="3">
        <v>38521.230000000003</v>
      </c>
      <c r="F410" s="3">
        <v>25334.83</v>
      </c>
      <c r="G410" s="3">
        <v>38521.230000000003</v>
      </c>
      <c r="H410" s="342">
        <v>0</v>
      </c>
      <c r="I410" s="335"/>
    </row>
    <row r="411" spans="1:9" x14ac:dyDescent="0.25">
      <c r="A411" s="341" t="s">
        <v>673</v>
      </c>
      <c r="B411" s="335"/>
      <c r="C411" s="2" t="s">
        <v>95</v>
      </c>
      <c r="D411" s="3">
        <v>50876.57</v>
      </c>
      <c r="E411" s="3">
        <v>16787.46</v>
      </c>
      <c r="F411" s="3">
        <v>28700.11</v>
      </c>
      <c r="G411" s="3">
        <v>47829.96</v>
      </c>
      <c r="H411" s="342">
        <v>0</v>
      </c>
      <c r="I411" s="335"/>
    </row>
    <row r="412" spans="1:9" x14ac:dyDescent="0.25">
      <c r="A412" s="341" t="s">
        <v>674</v>
      </c>
      <c r="B412" s="335"/>
      <c r="C412" s="2" t="s">
        <v>675</v>
      </c>
      <c r="D412" s="3">
        <v>19521.2</v>
      </c>
      <c r="E412" s="3">
        <v>17109.7</v>
      </c>
      <c r="F412" s="3">
        <v>7198.75</v>
      </c>
      <c r="G412" s="3">
        <v>0</v>
      </c>
      <c r="H412" s="342">
        <v>0</v>
      </c>
      <c r="I412" s="335"/>
    </row>
    <row r="413" spans="1:9" x14ac:dyDescent="0.25">
      <c r="A413" s="341" t="s">
        <v>676</v>
      </c>
      <c r="B413" s="335"/>
      <c r="C413" s="2" t="s">
        <v>677</v>
      </c>
      <c r="D413" s="3">
        <v>0</v>
      </c>
      <c r="E413" s="3">
        <v>0</v>
      </c>
      <c r="F413" s="3">
        <v>0</v>
      </c>
      <c r="G413" s="3">
        <v>0</v>
      </c>
      <c r="H413" s="342">
        <v>0</v>
      </c>
      <c r="I413" s="335"/>
    </row>
    <row r="414" spans="1:9" x14ac:dyDescent="0.25">
      <c r="A414" s="341" t="s">
        <v>678</v>
      </c>
      <c r="B414" s="335"/>
      <c r="C414" s="2" t="s">
        <v>679</v>
      </c>
      <c r="D414" s="3">
        <v>0</v>
      </c>
      <c r="E414" s="3">
        <v>0</v>
      </c>
      <c r="F414" s="3">
        <v>0</v>
      </c>
      <c r="G414" s="3">
        <v>0</v>
      </c>
      <c r="H414" s="342">
        <v>0</v>
      </c>
      <c r="I414" s="335"/>
    </row>
    <row r="415" spans="1:9" x14ac:dyDescent="0.25">
      <c r="A415" s="341" t="s">
        <v>680</v>
      </c>
      <c r="B415" s="335"/>
      <c r="C415" s="2" t="s">
        <v>681</v>
      </c>
      <c r="D415" s="3">
        <v>0</v>
      </c>
      <c r="E415" s="3">
        <v>0</v>
      </c>
      <c r="F415" s="3">
        <v>0</v>
      </c>
      <c r="G415" s="3">
        <v>0</v>
      </c>
      <c r="H415" s="342">
        <v>0</v>
      </c>
      <c r="I415" s="335"/>
    </row>
    <row r="416" spans="1:9" x14ac:dyDescent="0.25">
      <c r="A416" s="341" t="s">
        <v>682</v>
      </c>
      <c r="B416" s="335"/>
      <c r="C416" s="2" t="s">
        <v>683</v>
      </c>
      <c r="D416" s="3">
        <v>19124</v>
      </c>
      <c r="E416" s="3">
        <v>22443</v>
      </c>
      <c r="F416" s="3">
        <v>23811.5</v>
      </c>
      <c r="G416" s="3">
        <v>14786</v>
      </c>
      <c r="H416" s="342">
        <v>0</v>
      </c>
      <c r="I416" s="335"/>
    </row>
    <row r="417" spans="1:9" x14ac:dyDescent="0.25">
      <c r="A417" s="341" t="s">
        <v>684</v>
      </c>
      <c r="B417" s="335"/>
      <c r="C417" s="2" t="s">
        <v>99</v>
      </c>
      <c r="D417" s="3">
        <v>90.92</v>
      </c>
      <c r="E417" s="3">
        <v>1378.37</v>
      </c>
      <c r="F417" s="3">
        <v>1372.43</v>
      </c>
      <c r="G417" s="3">
        <v>939.92</v>
      </c>
      <c r="H417" s="342">
        <v>0</v>
      </c>
      <c r="I417" s="335"/>
    </row>
    <row r="418" spans="1:9" x14ac:dyDescent="0.25">
      <c r="A418" s="341" t="s">
        <v>685</v>
      </c>
      <c r="B418" s="335"/>
      <c r="C418" s="2" t="s">
        <v>59</v>
      </c>
      <c r="D418" s="3">
        <v>2163.9699999999998</v>
      </c>
      <c r="E418" s="3">
        <v>1249.55</v>
      </c>
      <c r="F418" s="3">
        <v>1008.96</v>
      </c>
      <c r="G418" s="3">
        <v>1325.74</v>
      </c>
      <c r="H418" s="342">
        <v>0</v>
      </c>
      <c r="I418" s="335"/>
    </row>
    <row r="419" spans="1:9" x14ac:dyDescent="0.25">
      <c r="A419" s="341" t="s">
        <v>686</v>
      </c>
      <c r="B419" s="335"/>
      <c r="C419" s="2" t="s">
        <v>17</v>
      </c>
      <c r="D419" s="3">
        <v>2406.75</v>
      </c>
      <c r="E419" s="3">
        <v>0</v>
      </c>
      <c r="F419" s="3">
        <v>903.01</v>
      </c>
      <c r="G419" s="3">
        <v>493.75</v>
      </c>
      <c r="H419" s="342">
        <v>0</v>
      </c>
      <c r="I419" s="335"/>
    </row>
    <row r="420" spans="1:9" x14ac:dyDescent="0.25">
      <c r="A420" s="341" t="s">
        <v>687</v>
      </c>
      <c r="B420" s="335"/>
      <c r="C420" s="2" t="s">
        <v>688</v>
      </c>
      <c r="D420" s="3">
        <v>6160.36</v>
      </c>
      <c r="E420" s="3">
        <v>3210.95</v>
      </c>
      <c r="F420" s="3">
        <v>6850.25</v>
      </c>
      <c r="G420" s="3">
        <v>4023.85</v>
      </c>
      <c r="H420" s="342">
        <v>0</v>
      </c>
      <c r="I420" s="335"/>
    </row>
    <row r="421" spans="1:9" x14ac:dyDescent="0.25">
      <c r="A421" s="341" t="s">
        <v>689</v>
      </c>
      <c r="B421" s="335"/>
      <c r="C421" s="2" t="s">
        <v>690</v>
      </c>
      <c r="D421" s="3">
        <v>10219.379999999999</v>
      </c>
      <c r="E421" s="3">
        <v>7157.79</v>
      </c>
      <c r="F421" s="3">
        <v>6778.88</v>
      </c>
      <c r="G421" s="3">
        <v>5086.8900000000003</v>
      </c>
      <c r="H421" s="342">
        <v>0</v>
      </c>
      <c r="I421" s="335"/>
    </row>
    <row r="422" spans="1:9" x14ac:dyDescent="0.25">
      <c r="A422" s="341" t="s">
        <v>691</v>
      </c>
      <c r="B422" s="335"/>
      <c r="C422" s="2" t="s">
        <v>692</v>
      </c>
      <c r="D422" s="3">
        <v>5077.83</v>
      </c>
      <c r="E422" s="3">
        <v>3712.87</v>
      </c>
      <c r="F422" s="3">
        <v>3143.28</v>
      </c>
      <c r="G422" s="3">
        <v>2204.81</v>
      </c>
      <c r="H422" s="342">
        <v>0</v>
      </c>
      <c r="I422" s="335"/>
    </row>
    <row r="423" spans="1:9" x14ac:dyDescent="0.25">
      <c r="A423" s="341" t="s">
        <v>693</v>
      </c>
      <c r="B423" s="335"/>
      <c r="C423" s="2" t="s">
        <v>472</v>
      </c>
      <c r="D423" s="3">
        <v>0</v>
      </c>
      <c r="E423" s="3">
        <v>0</v>
      </c>
      <c r="F423" s="3">
        <v>0</v>
      </c>
      <c r="G423" s="3">
        <v>0</v>
      </c>
      <c r="H423" s="342">
        <v>0</v>
      </c>
      <c r="I423" s="335"/>
    </row>
    <row r="424" spans="1:9" x14ac:dyDescent="0.25">
      <c r="A424" s="341" t="s">
        <v>694</v>
      </c>
      <c r="B424" s="335"/>
      <c r="C424" s="2" t="s">
        <v>64</v>
      </c>
      <c r="D424" s="3">
        <v>1563.18</v>
      </c>
      <c r="E424" s="3">
        <v>2891.28</v>
      </c>
      <c r="F424" s="3">
        <v>2504.48</v>
      </c>
      <c r="G424" s="3">
        <v>0</v>
      </c>
      <c r="H424" s="342">
        <v>0</v>
      </c>
      <c r="I424" s="335"/>
    </row>
    <row r="425" spans="1:9" x14ac:dyDescent="0.25">
      <c r="A425" s="341" t="s">
        <v>695</v>
      </c>
      <c r="B425" s="335"/>
      <c r="C425" s="2" t="s">
        <v>66</v>
      </c>
      <c r="D425" s="3">
        <v>1827.5</v>
      </c>
      <c r="E425" s="3">
        <v>90</v>
      </c>
      <c r="F425" s="3">
        <v>1207.52</v>
      </c>
      <c r="G425" s="3">
        <v>475</v>
      </c>
      <c r="H425" s="342">
        <v>0</v>
      </c>
      <c r="I425" s="335"/>
    </row>
    <row r="426" spans="1:9" x14ac:dyDescent="0.25">
      <c r="A426" s="341" t="s">
        <v>3264</v>
      </c>
      <c r="B426" s="335"/>
      <c r="C426" s="2" t="s">
        <v>697</v>
      </c>
      <c r="D426" s="3">
        <v>2994.5</v>
      </c>
      <c r="E426" s="3">
        <v>315</v>
      </c>
      <c r="F426" s="3">
        <v>0</v>
      </c>
      <c r="G426" s="3">
        <v>0</v>
      </c>
      <c r="H426" s="342">
        <v>0</v>
      </c>
      <c r="I426" s="335"/>
    </row>
    <row r="427" spans="1:9" x14ac:dyDescent="0.25">
      <c r="A427" s="341" t="s">
        <v>699</v>
      </c>
      <c r="B427" s="335"/>
      <c r="C427" s="2" t="s">
        <v>700</v>
      </c>
      <c r="D427" s="3">
        <v>12037.52</v>
      </c>
      <c r="E427" s="3">
        <v>15699.55</v>
      </c>
      <c r="F427" s="3">
        <v>35504.239999999998</v>
      </c>
      <c r="G427" s="3">
        <v>11507.54</v>
      </c>
      <c r="H427" s="342">
        <v>0</v>
      </c>
      <c r="I427" s="335"/>
    </row>
    <row r="428" spans="1:9" x14ac:dyDescent="0.25">
      <c r="A428" s="341" t="s">
        <v>701</v>
      </c>
      <c r="B428" s="335"/>
      <c r="C428" s="2" t="s">
        <v>702</v>
      </c>
      <c r="D428" s="3">
        <v>0</v>
      </c>
      <c r="E428" s="3">
        <v>0</v>
      </c>
      <c r="F428" s="3">
        <v>16000</v>
      </c>
      <c r="G428" s="3">
        <v>0</v>
      </c>
      <c r="H428" s="342">
        <v>0</v>
      </c>
      <c r="I428" s="335"/>
    </row>
    <row r="429" spans="1:9" x14ac:dyDescent="0.25">
      <c r="A429" s="341" t="s">
        <v>703</v>
      </c>
      <c r="B429" s="335"/>
      <c r="C429" s="2" t="s">
        <v>704</v>
      </c>
      <c r="D429" s="3">
        <v>0</v>
      </c>
      <c r="E429" s="3">
        <v>0</v>
      </c>
      <c r="F429" s="3">
        <v>3211.35</v>
      </c>
      <c r="G429" s="3">
        <v>5844.44</v>
      </c>
      <c r="H429" s="342">
        <v>0</v>
      </c>
      <c r="I429" s="335"/>
    </row>
    <row r="430" spans="1:9" x14ac:dyDescent="0.25">
      <c r="A430" s="340" t="s">
        <v>3224</v>
      </c>
      <c r="B430" s="335"/>
      <c r="C430" s="1" t="s">
        <v>2</v>
      </c>
    </row>
    <row r="431" spans="1:9" ht="24" x14ac:dyDescent="0.25">
      <c r="A431" s="341" t="s">
        <v>707</v>
      </c>
      <c r="B431" s="335"/>
      <c r="C431" s="2" t="s">
        <v>708</v>
      </c>
      <c r="D431" s="3">
        <v>29373.79</v>
      </c>
      <c r="E431" s="3">
        <v>28343.73</v>
      </c>
      <c r="F431" s="3">
        <v>23811.599999999999</v>
      </c>
      <c r="G431" s="3">
        <v>1568.21</v>
      </c>
      <c r="H431" s="342">
        <v>0</v>
      </c>
      <c r="I431" s="335"/>
    </row>
    <row r="432" spans="1:9" ht="24" x14ac:dyDescent="0.25">
      <c r="A432" s="341" t="s">
        <v>709</v>
      </c>
      <c r="B432" s="335"/>
      <c r="C432" s="2" t="s">
        <v>710</v>
      </c>
      <c r="D432" s="3">
        <v>0</v>
      </c>
      <c r="E432" s="3">
        <v>50000</v>
      </c>
      <c r="F432" s="3">
        <v>50000</v>
      </c>
      <c r="G432" s="3">
        <v>0</v>
      </c>
      <c r="H432" s="342">
        <v>0</v>
      </c>
      <c r="I432" s="335"/>
    </row>
    <row r="433" spans="1:9" ht="24" x14ac:dyDescent="0.25">
      <c r="A433" s="341" t="s">
        <v>711</v>
      </c>
      <c r="B433" s="335"/>
      <c r="C433" s="2" t="s">
        <v>712</v>
      </c>
      <c r="D433" s="3">
        <v>0</v>
      </c>
      <c r="E433" s="3">
        <v>15000</v>
      </c>
      <c r="F433" s="3">
        <v>515000</v>
      </c>
      <c r="G433" s="3">
        <v>0</v>
      </c>
      <c r="H433" s="342">
        <v>0</v>
      </c>
      <c r="I433" s="335"/>
    </row>
    <row r="434" spans="1:9" x14ac:dyDescent="0.25">
      <c r="A434" s="341" t="s">
        <v>713</v>
      </c>
      <c r="B434" s="335"/>
      <c r="C434" s="2" t="s">
        <v>714</v>
      </c>
      <c r="D434" s="3">
        <v>100000</v>
      </c>
      <c r="E434" s="3">
        <v>100000</v>
      </c>
      <c r="F434" s="3">
        <v>570000</v>
      </c>
      <c r="G434" s="3">
        <v>0</v>
      </c>
      <c r="H434" s="342">
        <v>0</v>
      </c>
      <c r="I434" s="335"/>
    </row>
    <row r="435" spans="1:9" x14ac:dyDescent="0.25">
      <c r="A435" s="341" t="s">
        <v>715</v>
      </c>
      <c r="B435" s="335"/>
      <c r="C435" s="2" t="s">
        <v>716</v>
      </c>
      <c r="D435" s="3">
        <v>0</v>
      </c>
      <c r="E435" s="3">
        <v>36779.040000000001</v>
      </c>
      <c r="F435" s="3">
        <v>0</v>
      </c>
      <c r="G435" s="3">
        <v>0</v>
      </c>
      <c r="H435" s="342">
        <v>0</v>
      </c>
      <c r="I435" s="335"/>
    </row>
    <row r="436" spans="1:9" x14ac:dyDescent="0.25">
      <c r="A436" s="341" t="s">
        <v>717</v>
      </c>
      <c r="B436" s="335"/>
      <c r="C436" s="2" t="s">
        <v>718</v>
      </c>
      <c r="D436" s="3">
        <v>0</v>
      </c>
      <c r="E436" s="3">
        <v>35648.1</v>
      </c>
      <c r="F436" s="3">
        <v>0</v>
      </c>
      <c r="G436" s="3">
        <v>0</v>
      </c>
      <c r="H436" s="342">
        <v>0</v>
      </c>
      <c r="I436" s="335"/>
    </row>
    <row r="437" spans="1:9" x14ac:dyDescent="0.25">
      <c r="A437" s="340" t="s">
        <v>3223</v>
      </c>
      <c r="B437" s="335"/>
      <c r="C437" s="1" t="s">
        <v>2</v>
      </c>
      <c r="D437" s="4">
        <v>129373.79</v>
      </c>
      <c r="E437" s="4">
        <v>265770.87</v>
      </c>
      <c r="F437" s="4">
        <v>1158811.6000000001</v>
      </c>
      <c r="G437" s="49">
        <f>SUM(G399:G436)</f>
        <v>273751.02</v>
      </c>
      <c r="H437" s="343">
        <v>0</v>
      </c>
      <c r="I437" s="335"/>
    </row>
    <row r="438" spans="1:9" x14ac:dyDescent="0.25">
      <c r="A438" s="340" t="s">
        <v>2</v>
      </c>
      <c r="B438" s="335"/>
      <c r="C438" s="1" t="s">
        <v>2</v>
      </c>
      <c r="D438" s="1" t="s">
        <v>2</v>
      </c>
      <c r="E438" s="1" t="s">
        <v>2</v>
      </c>
      <c r="F438" s="1" t="s">
        <v>2</v>
      </c>
      <c r="G438" s="1" t="s">
        <v>2</v>
      </c>
      <c r="H438" s="340" t="s">
        <v>2</v>
      </c>
      <c r="I438" s="335"/>
    </row>
    <row r="439" spans="1:9" x14ac:dyDescent="0.25">
      <c r="A439" s="341" t="s">
        <v>719</v>
      </c>
      <c r="B439" s="335"/>
      <c r="C439" s="2" t="s">
        <v>720</v>
      </c>
      <c r="D439" s="3">
        <v>0</v>
      </c>
      <c r="E439" s="3">
        <v>38433.82</v>
      </c>
      <c r="F439" s="3">
        <v>0</v>
      </c>
      <c r="G439" s="3">
        <v>0</v>
      </c>
      <c r="H439" s="342">
        <v>0</v>
      </c>
      <c r="I439" s="335"/>
    </row>
    <row r="440" spans="1:9" ht="24" x14ac:dyDescent="0.25">
      <c r="A440" s="341" t="s">
        <v>721</v>
      </c>
      <c r="B440" s="335"/>
      <c r="C440" s="2" t="s">
        <v>722</v>
      </c>
      <c r="D440" s="3">
        <v>0</v>
      </c>
      <c r="E440" s="3">
        <v>6565.09</v>
      </c>
      <c r="F440" s="3">
        <v>0</v>
      </c>
      <c r="G440" s="3">
        <v>0</v>
      </c>
      <c r="H440" s="342">
        <v>0</v>
      </c>
      <c r="I440" s="335"/>
    </row>
    <row r="441" spans="1:9" x14ac:dyDescent="0.25">
      <c r="A441" s="341" t="s">
        <v>723</v>
      </c>
      <c r="B441" s="335"/>
      <c r="C441" s="2" t="s">
        <v>724</v>
      </c>
      <c r="D441" s="3">
        <v>0</v>
      </c>
      <c r="E441" s="3">
        <v>19477.95</v>
      </c>
      <c r="F441" s="3">
        <v>0</v>
      </c>
      <c r="G441" s="3">
        <v>0</v>
      </c>
      <c r="H441" s="342">
        <v>0</v>
      </c>
      <c r="I441" s="335"/>
    </row>
    <row r="442" spans="1:9" x14ac:dyDescent="0.25">
      <c r="A442" s="341" t="s">
        <v>725</v>
      </c>
      <c r="B442" s="335"/>
      <c r="C442" s="2" t="s">
        <v>726</v>
      </c>
      <c r="D442" s="3">
        <v>0</v>
      </c>
      <c r="E442" s="3">
        <v>14086.49</v>
      </c>
      <c r="F442" s="3">
        <v>0</v>
      </c>
      <c r="G442" s="3">
        <v>0</v>
      </c>
      <c r="H442" s="342">
        <v>0</v>
      </c>
      <c r="I442" s="335"/>
    </row>
    <row r="443" spans="1:9" x14ac:dyDescent="0.25">
      <c r="A443" s="341" t="s">
        <v>727</v>
      </c>
      <c r="B443" s="335"/>
      <c r="C443" s="2" t="s">
        <v>728</v>
      </c>
      <c r="D443" s="3">
        <v>0</v>
      </c>
      <c r="E443" s="3">
        <v>0</v>
      </c>
      <c r="F443" s="3">
        <v>40277.4</v>
      </c>
      <c r="G443" s="3">
        <v>0</v>
      </c>
      <c r="H443" s="342">
        <v>0</v>
      </c>
      <c r="I443" s="335"/>
    </row>
    <row r="444" spans="1:9" x14ac:dyDescent="0.25">
      <c r="A444" s="341" t="s">
        <v>729</v>
      </c>
      <c r="B444" s="335"/>
      <c r="C444" s="2" t="s">
        <v>730</v>
      </c>
      <c r="D444" s="3">
        <v>0</v>
      </c>
      <c r="E444" s="3">
        <v>0</v>
      </c>
      <c r="F444" s="3">
        <v>33976.43</v>
      </c>
      <c r="G444" s="3">
        <v>0</v>
      </c>
      <c r="H444" s="342">
        <v>0</v>
      </c>
      <c r="I444" s="335"/>
    </row>
    <row r="445" spans="1:9" x14ac:dyDescent="0.25">
      <c r="A445" s="341" t="s">
        <v>731</v>
      </c>
      <c r="B445" s="335"/>
      <c r="C445" s="2" t="s">
        <v>732</v>
      </c>
      <c r="D445" s="3">
        <v>0</v>
      </c>
      <c r="E445" s="3">
        <v>0</v>
      </c>
      <c r="F445" s="3">
        <v>0</v>
      </c>
      <c r="G445" s="3">
        <v>0</v>
      </c>
      <c r="H445" s="342">
        <v>0</v>
      </c>
      <c r="I445" s="335"/>
    </row>
    <row r="446" spans="1:9" x14ac:dyDescent="0.25">
      <c r="A446" s="341" t="s">
        <v>733</v>
      </c>
      <c r="B446" s="335"/>
      <c r="C446" s="2" t="s">
        <v>734</v>
      </c>
      <c r="D446" s="3">
        <v>0</v>
      </c>
      <c r="E446" s="3">
        <v>0</v>
      </c>
      <c r="F446" s="3">
        <v>0</v>
      </c>
      <c r="G446" s="3">
        <v>0</v>
      </c>
      <c r="H446" s="342">
        <v>0</v>
      </c>
      <c r="I446" s="335"/>
    </row>
    <row r="447" spans="1:9" x14ac:dyDescent="0.25">
      <c r="A447" s="341" t="s">
        <v>735</v>
      </c>
      <c r="B447" s="335"/>
      <c r="C447" s="2" t="s">
        <v>736</v>
      </c>
      <c r="D447" s="3">
        <v>0</v>
      </c>
      <c r="E447" s="3">
        <v>0</v>
      </c>
      <c r="F447" s="3">
        <v>0</v>
      </c>
      <c r="G447" s="3">
        <v>0</v>
      </c>
      <c r="H447" s="342">
        <v>0</v>
      </c>
      <c r="I447" s="335"/>
    </row>
    <row r="448" spans="1:9" x14ac:dyDescent="0.25">
      <c r="A448" s="340" t="s">
        <v>738</v>
      </c>
      <c r="B448" s="335"/>
      <c r="C448" s="1" t="s">
        <v>2</v>
      </c>
      <c r="D448" s="4">
        <v>8740081.0600000005</v>
      </c>
      <c r="E448" s="4">
        <v>9607528.2200000007</v>
      </c>
      <c r="F448" s="4">
        <v>11855770.960000001</v>
      </c>
      <c r="G448" s="4">
        <v>8184053.4299999997</v>
      </c>
      <c r="H448" s="343">
        <v>0</v>
      </c>
      <c r="I448" s="335"/>
    </row>
    <row r="449" spans="1:9" x14ac:dyDescent="0.25">
      <c r="A449" s="340" t="s">
        <v>2</v>
      </c>
      <c r="B449" s="335"/>
      <c r="C449" s="1" t="s">
        <v>2</v>
      </c>
      <c r="D449" s="1" t="s">
        <v>2</v>
      </c>
      <c r="E449" s="1" t="s">
        <v>2</v>
      </c>
      <c r="F449" s="1" t="s">
        <v>2</v>
      </c>
      <c r="G449" s="1" t="s">
        <v>2</v>
      </c>
      <c r="H449" s="340" t="s">
        <v>2</v>
      </c>
      <c r="I449" s="335"/>
    </row>
    <row r="450" spans="1:9" x14ac:dyDescent="0.25">
      <c r="A450" s="340" t="s">
        <v>739</v>
      </c>
      <c r="B450" s="335"/>
      <c r="C450" s="1" t="s">
        <v>2</v>
      </c>
    </row>
    <row r="451" spans="1:9" x14ac:dyDescent="0.25">
      <c r="A451" s="341" t="s">
        <v>741</v>
      </c>
      <c r="B451" s="335"/>
      <c r="C451" s="2" t="s">
        <v>742</v>
      </c>
      <c r="D451" s="3">
        <v>0</v>
      </c>
      <c r="E451" s="3">
        <v>0</v>
      </c>
      <c r="F451" s="3">
        <v>0</v>
      </c>
      <c r="G451" s="3">
        <v>0</v>
      </c>
      <c r="H451" s="342">
        <v>0</v>
      </c>
      <c r="I451" s="335"/>
    </row>
    <row r="452" spans="1:9" x14ac:dyDescent="0.25">
      <c r="A452" s="340" t="s">
        <v>743</v>
      </c>
      <c r="B452" s="335"/>
      <c r="C452" s="1" t="s">
        <v>2</v>
      </c>
      <c r="D452" s="4">
        <v>0</v>
      </c>
      <c r="E452" s="4">
        <v>0</v>
      </c>
      <c r="F452" s="4">
        <v>0</v>
      </c>
      <c r="G452" s="4">
        <v>0</v>
      </c>
      <c r="H452" s="343">
        <v>0</v>
      </c>
      <c r="I452" s="335"/>
    </row>
    <row r="453" spans="1:9" x14ac:dyDescent="0.25">
      <c r="A453" s="340" t="s">
        <v>2</v>
      </c>
      <c r="B453" s="335"/>
      <c r="C453" s="1" t="s">
        <v>2</v>
      </c>
      <c r="D453" s="1" t="s">
        <v>2</v>
      </c>
      <c r="E453" s="1" t="s">
        <v>2</v>
      </c>
      <c r="F453" s="1" t="s">
        <v>2</v>
      </c>
      <c r="G453" s="1" t="s">
        <v>2</v>
      </c>
      <c r="H453" s="340" t="s">
        <v>2</v>
      </c>
      <c r="I453" s="335"/>
    </row>
    <row r="454" spans="1:9" x14ac:dyDescent="0.25">
      <c r="A454" s="340" t="s">
        <v>744</v>
      </c>
      <c r="B454" s="335"/>
      <c r="C454" s="1" t="s">
        <v>2</v>
      </c>
    </row>
    <row r="455" spans="1:9" x14ac:dyDescent="0.25">
      <c r="A455" s="341" t="s">
        <v>745</v>
      </c>
      <c r="B455" s="335"/>
      <c r="C455" s="2" t="s">
        <v>746</v>
      </c>
      <c r="D455" s="3">
        <v>0</v>
      </c>
      <c r="E455" s="3">
        <v>70000</v>
      </c>
      <c r="F455" s="3">
        <v>50000</v>
      </c>
      <c r="G455" s="3">
        <v>0</v>
      </c>
      <c r="H455" s="342">
        <v>0</v>
      </c>
      <c r="I455" s="335"/>
    </row>
    <row r="456" spans="1:9" x14ac:dyDescent="0.25">
      <c r="A456" s="340" t="s">
        <v>747</v>
      </c>
      <c r="B456" s="335"/>
      <c r="C456" s="1" t="s">
        <v>2</v>
      </c>
      <c r="D456" s="4">
        <v>0</v>
      </c>
      <c r="E456" s="4">
        <v>70000</v>
      </c>
      <c r="F456" s="4">
        <v>50000</v>
      </c>
      <c r="G456" s="4">
        <v>0</v>
      </c>
      <c r="H456" s="343">
        <v>0</v>
      </c>
      <c r="I456" s="335"/>
    </row>
    <row r="457" spans="1:9" x14ac:dyDescent="0.25">
      <c r="A457" s="340" t="s">
        <v>2</v>
      </c>
      <c r="B457" s="335"/>
      <c r="C457" s="1" t="s">
        <v>2</v>
      </c>
      <c r="D457" s="1" t="s">
        <v>2</v>
      </c>
      <c r="E457" s="1" t="s">
        <v>2</v>
      </c>
      <c r="F457" s="1" t="s">
        <v>2</v>
      </c>
      <c r="G457" s="1" t="s">
        <v>2</v>
      </c>
      <c r="H457" s="340" t="s">
        <v>2</v>
      </c>
      <c r="I457" s="335"/>
    </row>
    <row r="458" spans="1:9" x14ac:dyDescent="0.25">
      <c r="A458" s="340" t="s">
        <v>748</v>
      </c>
      <c r="B458" s="335"/>
      <c r="C458" s="1" t="s">
        <v>2</v>
      </c>
    </row>
    <row r="459" spans="1:9" ht="24" x14ac:dyDescent="0.25">
      <c r="A459" s="341" t="s">
        <v>749</v>
      </c>
      <c r="B459" s="335"/>
      <c r="C459" s="2" t="s">
        <v>750</v>
      </c>
      <c r="D459" s="3">
        <v>24984</v>
      </c>
      <c r="E459" s="3">
        <v>26730</v>
      </c>
      <c r="F459" s="3">
        <v>26730</v>
      </c>
      <c r="G459" s="3">
        <v>22275</v>
      </c>
      <c r="H459" s="342">
        <v>0</v>
      </c>
      <c r="I459" s="335"/>
    </row>
    <row r="460" spans="1:9" x14ac:dyDescent="0.25">
      <c r="A460" s="341" t="s">
        <v>751</v>
      </c>
      <c r="B460" s="335"/>
      <c r="C460" s="2" t="s">
        <v>752</v>
      </c>
      <c r="D460" s="3">
        <v>5526.54</v>
      </c>
      <c r="E460" s="3">
        <v>5314.3</v>
      </c>
      <c r="F460" s="3">
        <v>6254.73</v>
      </c>
      <c r="G460" s="3">
        <v>4484.3999999999996</v>
      </c>
      <c r="H460" s="342">
        <v>0</v>
      </c>
      <c r="I460" s="335"/>
    </row>
    <row r="461" spans="1:9" x14ac:dyDescent="0.25">
      <c r="A461" s="341" t="s">
        <v>753</v>
      </c>
      <c r="B461" s="335"/>
      <c r="C461" s="2" t="s">
        <v>754</v>
      </c>
      <c r="D461" s="3">
        <v>1206.1500000000001</v>
      </c>
      <c r="E461" s="3">
        <v>266</v>
      </c>
      <c r="F461" s="3">
        <v>680</v>
      </c>
      <c r="G461" s="3">
        <v>3578</v>
      </c>
      <c r="H461" s="342">
        <v>0</v>
      </c>
      <c r="I461" s="335"/>
    </row>
    <row r="462" spans="1:9" x14ac:dyDescent="0.25">
      <c r="A462" s="340" t="s">
        <v>755</v>
      </c>
      <c r="B462" s="335"/>
      <c r="C462" s="1" t="s">
        <v>2</v>
      </c>
      <c r="D462" s="4">
        <v>31716.69</v>
      </c>
      <c r="E462" s="4">
        <v>32310.3</v>
      </c>
      <c r="F462" s="4">
        <v>33664.730000000003</v>
      </c>
      <c r="G462" s="4">
        <v>30337.4</v>
      </c>
      <c r="H462" s="343">
        <v>0</v>
      </c>
      <c r="I462" s="335"/>
    </row>
    <row r="463" spans="1:9" x14ac:dyDescent="0.25">
      <c r="A463" s="340" t="s">
        <v>2</v>
      </c>
      <c r="B463" s="335"/>
      <c r="C463" s="1" t="s">
        <v>2</v>
      </c>
      <c r="D463" s="1" t="s">
        <v>2</v>
      </c>
      <c r="E463" s="1" t="s">
        <v>2</v>
      </c>
      <c r="F463" s="1" t="s">
        <v>2</v>
      </c>
      <c r="G463" s="1" t="s">
        <v>2</v>
      </c>
      <c r="H463" s="340" t="s">
        <v>2</v>
      </c>
      <c r="I463" s="335"/>
    </row>
    <row r="464" spans="1:9" x14ac:dyDescent="0.25">
      <c r="A464" s="340" t="s">
        <v>756</v>
      </c>
      <c r="B464" s="335"/>
      <c r="C464" s="1" t="s">
        <v>2</v>
      </c>
    </row>
    <row r="465" spans="1:9" x14ac:dyDescent="0.25">
      <c r="A465" s="341" t="s">
        <v>757</v>
      </c>
      <c r="B465" s="335"/>
      <c r="C465" s="2" t="s">
        <v>742</v>
      </c>
      <c r="D465" s="3">
        <v>684521.2</v>
      </c>
      <c r="E465" s="3">
        <v>215000</v>
      </c>
      <c r="F465" s="3">
        <v>0</v>
      </c>
      <c r="G465" s="3">
        <v>0</v>
      </c>
      <c r="H465" s="342">
        <v>0</v>
      </c>
      <c r="I465" s="335"/>
    </row>
    <row r="466" spans="1:9" x14ac:dyDescent="0.25">
      <c r="A466" s="341" t="s">
        <v>758</v>
      </c>
      <c r="B466" s="335"/>
      <c r="C466" s="2" t="s">
        <v>759</v>
      </c>
      <c r="D466" s="3">
        <v>100000</v>
      </c>
      <c r="E466" s="3">
        <v>100000</v>
      </c>
      <c r="F466" s="3">
        <v>100000</v>
      </c>
      <c r="G466" s="3">
        <v>0</v>
      </c>
      <c r="H466" s="342">
        <v>0</v>
      </c>
      <c r="I466" s="335"/>
    </row>
    <row r="467" spans="1:9" x14ac:dyDescent="0.25">
      <c r="A467" s="341" t="s">
        <v>760</v>
      </c>
      <c r="B467" s="335"/>
      <c r="C467" s="2" t="s">
        <v>761</v>
      </c>
      <c r="D467" s="3">
        <v>100000</v>
      </c>
      <c r="E467" s="3">
        <v>0</v>
      </c>
      <c r="F467" s="3">
        <v>0</v>
      </c>
      <c r="G467" s="3">
        <v>0</v>
      </c>
      <c r="H467" s="342">
        <v>0</v>
      </c>
      <c r="I467" s="335"/>
    </row>
    <row r="468" spans="1:9" x14ac:dyDescent="0.25">
      <c r="A468" s="341" t="s">
        <v>762</v>
      </c>
      <c r="B468" s="335"/>
      <c r="C468" s="2" t="s">
        <v>763</v>
      </c>
      <c r="D468" s="3">
        <v>375000</v>
      </c>
      <c r="E468" s="3">
        <v>860230.48</v>
      </c>
      <c r="F468" s="3">
        <v>770000</v>
      </c>
      <c r="G468" s="3">
        <v>262000</v>
      </c>
      <c r="H468" s="342">
        <v>0</v>
      </c>
      <c r="I468" s="335"/>
    </row>
    <row r="469" spans="1:9" x14ac:dyDescent="0.25">
      <c r="A469" s="341" t="s">
        <v>764</v>
      </c>
      <c r="B469" s="335"/>
      <c r="C469" s="2" t="s">
        <v>765</v>
      </c>
      <c r="D469" s="3">
        <v>53025</v>
      </c>
      <c r="E469" s="3">
        <v>51825</v>
      </c>
      <c r="F469" s="3">
        <v>45312.5</v>
      </c>
      <c r="G469" s="3">
        <v>0</v>
      </c>
      <c r="H469" s="342">
        <v>0</v>
      </c>
      <c r="I469" s="335"/>
    </row>
    <row r="470" spans="1:9" x14ac:dyDescent="0.25">
      <c r="A470" s="341" t="s">
        <v>766</v>
      </c>
      <c r="B470" s="335"/>
      <c r="C470" s="2" t="s">
        <v>767</v>
      </c>
      <c r="D470" s="3">
        <v>26720</v>
      </c>
      <c r="E470" s="3">
        <v>26720</v>
      </c>
      <c r="F470" s="3">
        <v>77066.22</v>
      </c>
      <c r="G470" s="3">
        <v>0</v>
      </c>
      <c r="H470" s="342">
        <v>0</v>
      </c>
      <c r="I470" s="335"/>
    </row>
    <row r="471" spans="1:9" ht="24" x14ac:dyDescent="0.25">
      <c r="A471" s="341" t="s">
        <v>768</v>
      </c>
      <c r="B471" s="335"/>
      <c r="C471" s="2" t="s">
        <v>769</v>
      </c>
      <c r="D471" s="3">
        <v>226668.15</v>
      </c>
      <c r="E471" s="3">
        <v>226749.77</v>
      </c>
      <c r="F471" s="3">
        <v>190492.79999999999</v>
      </c>
      <c r="G471" s="3">
        <v>0</v>
      </c>
      <c r="H471" s="342">
        <v>0</v>
      </c>
      <c r="I471" s="335"/>
    </row>
    <row r="472" spans="1:9" ht="24" x14ac:dyDescent="0.25">
      <c r="A472" s="341" t="s">
        <v>770</v>
      </c>
      <c r="B472" s="335"/>
      <c r="C472" s="2" t="s">
        <v>771</v>
      </c>
      <c r="D472" s="3">
        <v>81887.5</v>
      </c>
      <c r="E472" s="3">
        <v>79400</v>
      </c>
      <c r="F472" s="3">
        <v>79400</v>
      </c>
      <c r="G472" s="3">
        <v>18445.66</v>
      </c>
      <c r="H472" s="342">
        <v>0</v>
      </c>
      <c r="I472" s="335"/>
    </row>
    <row r="473" spans="1:9" ht="24" x14ac:dyDescent="0.25">
      <c r="A473" s="341" t="s">
        <v>772</v>
      </c>
      <c r="B473" s="335"/>
      <c r="C473" s="2" t="s">
        <v>773</v>
      </c>
      <c r="D473" s="3">
        <v>57369</v>
      </c>
      <c r="E473" s="3">
        <v>56194.52</v>
      </c>
      <c r="F473" s="3">
        <v>57369</v>
      </c>
      <c r="G473" s="3">
        <v>28097.26</v>
      </c>
      <c r="H473" s="342">
        <v>0</v>
      </c>
      <c r="I473" s="335"/>
    </row>
    <row r="474" spans="1:9" ht="24" x14ac:dyDescent="0.25">
      <c r="A474" s="341" t="s">
        <v>774</v>
      </c>
      <c r="B474" s="335"/>
      <c r="C474" s="2" t="s">
        <v>775</v>
      </c>
      <c r="D474" s="3">
        <v>35000</v>
      </c>
      <c r="E474" s="3">
        <v>20000</v>
      </c>
      <c r="F474" s="3">
        <v>0</v>
      </c>
      <c r="G474" s="3">
        <v>0</v>
      </c>
      <c r="H474" s="342">
        <v>0</v>
      </c>
      <c r="I474" s="335"/>
    </row>
    <row r="475" spans="1:9" ht="24" x14ac:dyDescent="0.25">
      <c r="A475" s="341" t="s">
        <v>776</v>
      </c>
      <c r="B475" s="335"/>
      <c r="C475" s="2" t="s">
        <v>777</v>
      </c>
      <c r="D475" s="3">
        <v>20322.400000000001</v>
      </c>
      <c r="E475" s="3">
        <v>20303.93</v>
      </c>
      <c r="F475" s="3">
        <v>20284.43</v>
      </c>
      <c r="G475" s="3">
        <v>14352.87</v>
      </c>
      <c r="H475" s="342">
        <v>0</v>
      </c>
      <c r="I475" s="335"/>
    </row>
    <row r="476" spans="1:9" x14ac:dyDescent="0.25">
      <c r="A476" s="341" t="s">
        <v>3263</v>
      </c>
      <c r="B476" s="335"/>
      <c r="C476" s="2" t="s">
        <v>3262</v>
      </c>
      <c r="D476" s="3">
        <v>475000</v>
      </c>
      <c r="E476" s="3">
        <v>0</v>
      </c>
      <c r="F476" s="3">
        <v>0</v>
      </c>
      <c r="G476" s="3">
        <v>0</v>
      </c>
      <c r="H476" s="342">
        <v>0</v>
      </c>
      <c r="I476" s="335"/>
    </row>
    <row r="477" spans="1:9" ht="24" x14ac:dyDescent="0.25">
      <c r="A477" s="341" t="s">
        <v>778</v>
      </c>
      <c r="B477" s="335"/>
      <c r="C477" s="2" t="s">
        <v>779</v>
      </c>
      <c r="D477" s="3">
        <v>0</v>
      </c>
      <c r="E477" s="3">
        <v>0</v>
      </c>
      <c r="F477" s="3">
        <v>500000</v>
      </c>
      <c r="G477" s="3">
        <v>0</v>
      </c>
      <c r="H477" s="342">
        <v>0</v>
      </c>
      <c r="I477" s="335"/>
    </row>
    <row r="478" spans="1:9" x14ac:dyDescent="0.25">
      <c r="A478" s="341" t="s">
        <v>780</v>
      </c>
      <c r="B478" s="335"/>
      <c r="C478" s="2" t="s">
        <v>781</v>
      </c>
      <c r="D478" s="3">
        <v>0</v>
      </c>
      <c r="E478" s="3">
        <v>0</v>
      </c>
      <c r="F478" s="3">
        <v>0</v>
      </c>
      <c r="G478" s="3">
        <v>0</v>
      </c>
      <c r="H478" s="342">
        <v>0</v>
      </c>
      <c r="I478" s="335"/>
    </row>
    <row r="479" spans="1:9" x14ac:dyDescent="0.25">
      <c r="A479" s="340" t="s">
        <v>782</v>
      </c>
      <c r="B479" s="335"/>
      <c r="C479" s="1" t="s">
        <v>2</v>
      </c>
      <c r="D479" s="4">
        <v>2235513.25</v>
      </c>
      <c r="E479" s="4">
        <v>1656423.7</v>
      </c>
      <c r="F479" s="4">
        <v>1839924.95</v>
      </c>
      <c r="G479" s="4">
        <v>322895.78999999998</v>
      </c>
      <c r="H479" s="343">
        <v>0</v>
      </c>
      <c r="I479" s="335"/>
    </row>
    <row r="480" spans="1:9" x14ac:dyDescent="0.25">
      <c r="A480" s="340" t="s">
        <v>2</v>
      </c>
      <c r="B480" s="335"/>
      <c r="C480" s="1" t="s">
        <v>2</v>
      </c>
      <c r="D480" s="1" t="s">
        <v>2</v>
      </c>
      <c r="E480" s="1" t="s">
        <v>2</v>
      </c>
      <c r="F480" s="1" t="s">
        <v>2</v>
      </c>
      <c r="G480" s="1" t="s">
        <v>2</v>
      </c>
      <c r="H480" s="340" t="s">
        <v>2</v>
      </c>
      <c r="I480" s="335"/>
    </row>
    <row r="481" spans="1:9" x14ac:dyDescent="0.25">
      <c r="A481" s="340" t="s">
        <v>783</v>
      </c>
      <c r="B481" s="335"/>
      <c r="C481" s="1" t="s">
        <v>2</v>
      </c>
    </row>
    <row r="482" spans="1:9" x14ac:dyDescent="0.25">
      <c r="A482" s="341" t="s">
        <v>784</v>
      </c>
      <c r="B482" s="335"/>
      <c r="C482" s="2" t="s">
        <v>108</v>
      </c>
      <c r="D482" s="3">
        <v>3544.62</v>
      </c>
      <c r="E482" s="3">
        <v>1644.56</v>
      </c>
      <c r="F482" s="3">
        <v>3850.44</v>
      </c>
      <c r="G482" s="3">
        <v>4931.84</v>
      </c>
      <c r="H482" s="342">
        <v>0</v>
      </c>
      <c r="I482" s="335"/>
    </row>
    <row r="483" spans="1:9" x14ac:dyDescent="0.25">
      <c r="A483" s="341" t="s">
        <v>785</v>
      </c>
      <c r="B483" s="335"/>
      <c r="C483" s="2" t="s">
        <v>786</v>
      </c>
      <c r="D483" s="3">
        <v>0</v>
      </c>
      <c r="E483" s="3">
        <v>0</v>
      </c>
      <c r="F483" s="3">
        <v>0</v>
      </c>
      <c r="G483" s="3">
        <v>202.34</v>
      </c>
      <c r="H483" s="342">
        <v>0</v>
      </c>
      <c r="I483" s="335"/>
    </row>
    <row r="484" spans="1:9" x14ac:dyDescent="0.25">
      <c r="A484" s="341" t="s">
        <v>787</v>
      </c>
      <c r="B484" s="335"/>
      <c r="C484" s="2" t="s">
        <v>29</v>
      </c>
      <c r="D484" s="3">
        <v>996.03</v>
      </c>
      <c r="E484" s="3">
        <v>376.75</v>
      </c>
      <c r="F484" s="3">
        <v>713.36</v>
      </c>
      <c r="G484" s="3">
        <v>1230.05</v>
      </c>
      <c r="H484" s="342">
        <v>0</v>
      </c>
      <c r="I484" s="335"/>
    </row>
    <row r="485" spans="1:9" x14ac:dyDescent="0.25">
      <c r="A485" s="341" t="s">
        <v>788</v>
      </c>
      <c r="B485" s="335"/>
      <c r="C485" s="2" t="s">
        <v>31</v>
      </c>
      <c r="D485" s="3">
        <v>81.22</v>
      </c>
      <c r="E485" s="3">
        <v>37.67</v>
      </c>
      <c r="F485" s="3">
        <v>82.78</v>
      </c>
      <c r="G485" s="3">
        <v>80.430000000000007</v>
      </c>
      <c r="H485" s="342">
        <v>0</v>
      </c>
      <c r="I485" s="335"/>
    </row>
    <row r="486" spans="1:9" x14ac:dyDescent="0.25">
      <c r="A486" s="341" t="s">
        <v>789</v>
      </c>
      <c r="B486" s="335"/>
      <c r="C486" s="2" t="s">
        <v>790</v>
      </c>
      <c r="D486" s="3">
        <v>513.04</v>
      </c>
      <c r="E486" s="3">
        <v>237.86</v>
      </c>
      <c r="F486" s="3">
        <v>518.70000000000005</v>
      </c>
      <c r="G486" s="3">
        <v>600.39</v>
      </c>
      <c r="H486" s="342">
        <v>0</v>
      </c>
      <c r="I486" s="335"/>
    </row>
    <row r="487" spans="1:9" x14ac:dyDescent="0.25">
      <c r="A487" s="341" t="s">
        <v>791</v>
      </c>
      <c r="B487" s="335"/>
      <c r="C487" s="2" t="s">
        <v>792</v>
      </c>
      <c r="D487" s="3">
        <v>268.02</v>
      </c>
      <c r="E487" s="3">
        <v>124.31</v>
      </c>
      <c r="F487" s="3">
        <v>292.37</v>
      </c>
      <c r="G487" s="3">
        <v>374</v>
      </c>
      <c r="H487" s="342">
        <v>0</v>
      </c>
      <c r="I487" s="335"/>
    </row>
    <row r="488" spans="1:9" x14ac:dyDescent="0.25">
      <c r="A488" s="341" t="s">
        <v>793</v>
      </c>
      <c r="B488" s="335"/>
      <c r="C488" s="2" t="s">
        <v>543</v>
      </c>
      <c r="D488" s="3">
        <v>0</v>
      </c>
      <c r="E488" s="3">
        <v>0</v>
      </c>
      <c r="F488" s="3">
        <v>0</v>
      </c>
      <c r="G488" s="3">
        <v>0</v>
      </c>
      <c r="H488" s="342">
        <v>0</v>
      </c>
      <c r="I488" s="335"/>
    </row>
    <row r="489" spans="1:9" x14ac:dyDescent="0.25">
      <c r="A489" s="341" t="s">
        <v>794</v>
      </c>
      <c r="B489" s="335"/>
      <c r="C489" s="2" t="s">
        <v>13</v>
      </c>
      <c r="D489" s="3">
        <v>4.7</v>
      </c>
      <c r="E489" s="3">
        <v>2.4</v>
      </c>
      <c r="F489" s="3">
        <v>5.58</v>
      </c>
      <c r="G489" s="3">
        <v>11.23</v>
      </c>
      <c r="H489" s="342">
        <v>0</v>
      </c>
      <c r="I489" s="335"/>
    </row>
    <row r="490" spans="1:9" x14ac:dyDescent="0.25">
      <c r="A490" s="341" t="s">
        <v>795</v>
      </c>
      <c r="B490" s="335"/>
      <c r="C490" s="2" t="s">
        <v>577</v>
      </c>
      <c r="D490" s="3">
        <v>0</v>
      </c>
      <c r="E490" s="3">
        <v>0</v>
      </c>
      <c r="F490" s="3">
        <v>0</v>
      </c>
      <c r="G490" s="3">
        <v>3.82</v>
      </c>
      <c r="H490" s="342">
        <v>0</v>
      </c>
      <c r="I490" s="335"/>
    </row>
    <row r="491" spans="1:9" x14ac:dyDescent="0.25">
      <c r="A491" s="341" t="s">
        <v>796</v>
      </c>
      <c r="B491" s="335"/>
      <c r="C491" s="2" t="s">
        <v>579</v>
      </c>
      <c r="D491" s="3">
        <v>0</v>
      </c>
      <c r="E491" s="3">
        <v>0</v>
      </c>
      <c r="F491" s="3">
        <v>0</v>
      </c>
      <c r="G491" s="3">
        <v>25.1</v>
      </c>
      <c r="H491" s="342">
        <v>0</v>
      </c>
      <c r="I491" s="335"/>
    </row>
    <row r="492" spans="1:9" x14ac:dyDescent="0.25">
      <c r="A492" s="341" t="s">
        <v>797</v>
      </c>
      <c r="B492" s="335"/>
      <c r="C492" s="2" t="s">
        <v>581</v>
      </c>
      <c r="D492" s="3">
        <v>0</v>
      </c>
      <c r="E492" s="3">
        <v>0</v>
      </c>
      <c r="F492" s="3">
        <v>0</v>
      </c>
      <c r="G492" s="3">
        <v>15.02</v>
      </c>
      <c r="H492" s="342">
        <v>0</v>
      </c>
      <c r="I492" s="335"/>
    </row>
    <row r="493" spans="1:9" x14ac:dyDescent="0.25">
      <c r="A493" s="341" t="s">
        <v>798</v>
      </c>
      <c r="B493" s="335"/>
      <c r="C493" s="2" t="s">
        <v>799</v>
      </c>
      <c r="D493" s="3">
        <v>22339.54</v>
      </c>
      <c r="E493" s="3">
        <v>10065.51</v>
      </c>
      <c r="F493" s="3">
        <v>9272.4699999999993</v>
      </c>
      <c r="G493" s="3">
        <v>9981.26</v>
      </c>
      <c r="H493" s="342">
        <v>0</v>
      </c>
      <c r="I493" s="335"/>
    </row>
    <row r="494" spans="1:9" x14ac:dyDescent="0.25">
      <c r="A494" s="341" t="s">
        <v>800</v>
      </c>
      <c r="B494" s="335"/>
      <c r="C494" s="2" t="s">
        <v>64</v>
      </c>
      <c r="D494" s="3">
        <v>13084</v>
      </c>
      <c r="E494" s="3">
        <v>11131.19</v>
      </c>
      <c r="F494" s="3">
        <v>12871.45</v>
      </c>
      <c r="G494" s="3">
        <v>9553.36</v>
      </c>
      <c r="H494" s="342">
        <v>0</v>
      </c>
      <c r="I494" s="335"/>
    </row>
    <row r="495" spans="1:9" x14ac:dyDescent="0.25">
      <c r="A495" s="341" t="s">
        <v>801</v>
      </c>
      <c r="B495" s="335"/>
      <c r="C495" s="2" t="s">
        <v>802</v>
      </c>
      <c r="D495" s="3">
        <v>0</v>
      </c>
      <c r="E495" s="3">
        <v>0</v>
      </c>
      <c r="F495" s="3">
        <v>0</v>
      </c>
      <c r="G495" s="3">
        <v>0</v>
      </c>
      <c r="H495" s="342">
        <v>0</v>
      </c>
      <c r="I495" s="335"/>
    </row>
    <row r="496" spans="1:9" x14ac:dyDescent="0.25">
      <c r="A496" s="341" t="s">
        <v>803</v>
      </c>
      <c r="B496" s="335"/>
      <c r="C496" s="2" t="s">
        <v>700</v>
      </c>
      <c r="D496" s="3">
        <v>11315</v>
      </c>
      <c r="E496" s="3">
        <v>6965.5</v>
      </c>
      <c r="F496" s="3">
        <v>3947.41</v>
      </c>
      <c r="G496" s="3">
        <v>3614</v>
      </c>
      <c r="H496" s="342">
        <v>0</v>
      </c>
      <c r="I496" s="335"/>
    </row>
    <row r="497" spans="1:9" x14ac:dyDescent="0.25">
      <c r="A497" s="340" t="s">
        <v>804</v>
      </c>
      <c r="B497" s="335"/>
      <c r="C497" s="1" t="s">
        <v>2</v>
      </c>
      <c r="D497" s="4">
        <v>52146.17</v>
      </c>
      <c r="E497" s="4">
        <v>30585.75</v>
      </c>
      <c r="F497" s="4">
        <v>31554.560000000001</v>
      </c>
      <c r="G497" s="4">
        <v>30622.84</v>
      </c>
      <c r="H497" s="343">
        <v>0</v>
      </c>
      <c r="I497" s="335"/>
    </row>
    <row r="498" spans="1:9" x14ac:dyDescent="0.25">
      <c r="A498" s="340" t="s">
        <v>2</v>
      </c>
      <c r="B498" s="335"/>
      <c r="C498" s="1" t="s">
        <v>2</v>
      </c>
      <c r="D498" s="1" t="s">
        <v>2</v>
      </c>
      <c r="E498" s="1" t="s">
        <v>2</v>
      </c>
      <c r="F498" s="1" t="s">
        <v>2</v>
      </c>
      <c r="G498" s="1" t="s">
        <v>2</v>
      </c>
      <c r="H498" s="340" t="s">
        <v>2</v>
      </c>
      <c r="I498" s="335"/>
    </row>
    <row r="499" spans="1:9" x14ac:dyDescent="0.25">
      <c r="A499" s="340" t="s">
        <v>805</v>
      </c>
      <c r="B499" s="335"/>
      <c r="C499" s="1" t="s">
        <v>2</v>
      </c>
    </row>
    <row r="500" spans="1:9" ht="24" x14ac:dyDescent="0.25">
      <c r="A500" s="341" t="s">
        <v>3261</v>
      </c>
      <c r="B500" s="335"/>
      <c r="C500" s="2" t="s">
        <v>3260</v>
      </c>
      <c r="D500" s="3">
        <v>0</v>
      </c>
      <c r="E500" s="3">
        <v>0</v>
      </c>
      <c r="F500" s="3">
        <v>0</v>
      </c>
      <c r="G500" s="3">
        <v>0</v>
      </c>
      <c r="H500" s="342">
        <v>0</v>
      </c>
      <c r="I500" s="335"/>
    </row>
    <row r="501" spans="1:9" ht="24" x14ac:dyDescent="0.25">
      <c r="A501" s="341" t="s">
        <v>807</v>
      </c>
      <c r="B501" s="335"/>
      <c r="C501" s="2" t="s">
        <v>808</v>
      </c>
      <c r="D501" s="3">
        <v>4779.97</v>
      </c>
      <c r="E501" s="3">
        <v>0</v>
      </c>
      <c r="F501" s="3">
        <v>0</v>
      </c>
      <c r="G501" s="3">
        <v>0</v>
      </c>
      <c r="H501" s="342">
        <v>0</v>
      </c>
      <c r="I501" s="335"/>
    </row>
    <row r="502" spans="1:9" x14ac:dyDescent="0.25">
      <c r="A502" s="341" t="s">
        <v>809</v>
      </c>
      <c r="B502" s="335"/>
      <c r="C502" s="2" t="s">
        <v>810</v>
      </c>
      <c r="D502" s="3">
        <v>0</v>
      </c>
      <c r="E502" s="3">
        <v>0</v>
      </c>
      <c r="F502" s="3">
        <v>0</v>
      </c>
      <c r="G502" s="3">
        <v>0</v>
      </c>
      <c r="H502" s="342">
        <v>0</v>
      </c>
      <c r="I502" s="335"/>
    </row>
    <row r="503" spans="1:9" ht="24" x14ac:dyDescent="0.25">
      <c r="A503" s="341" t="s">
        <v>811</v>
      </c>
      <c r="B503" s="335"/>
      <c r="C503" s="2" t="s">
        <v>812</v>
      </c>
      <c r="D503" s="3">
        <v>0</v>
      </c>
      <c r="E503" s="3">
        <v>0</v>
      </c>
      <c r="F503" s="3">
        <v>0</v>
      </c>
      <c r="G503" s="3">
        <v>0</v>
      </c>
      <c r="H503" s="342">
        <v>0</v>
      </c>
      <c r="I503" s="335"/>
    </row>
    <row r="504" spans="1:9" ht="24" x14ac:dyDescent="0.25">
      <c r="A504" s="341" t="s">
        <v>813</v>
      </c>
      <c r="B504" s="335"/>
      <c r="C504" s="2" t="s">
        <v>814</v>
      </c>
      <c r="D504" s="3">
        <v>0</v>
      </c>
      <c r="E504" s="3">
        <v>0</v>
      </c>
      <c r="F504" s="3">
        <v>0</v>
      </c>
      <c r="G504" s="3">
        <v>0</v>
      </c>
      <c r="H504" s="342">
        <v>0</v>
      </c>
      <c r="I504" s="335"/>
    </row>
    <row r="505" spans="1:9" x14ac:dyDescent="0.25">
      <c r="A505" s="341" t="s">
        <v>815</v>
      </c>
      <c r="B505" s="335"/>
      <c r="C505" s="2" t="s">
        <v>816</v>
      </c>
      <c r="D505" s="3">
        <v>0</v>
      </c>
      <c r="E505" s="3">
        <v>0</v>
      </c>
      <c r="F505" s="3">
        <v>0</v>
      </c>
      <c r="G505" s="3">
        <v>1436.16</v>
      </c>
      <c r="H505" s="342">
        <v>0</v>
      </c>
      <c r="I505" s="335"/>
    </row>
    <row r="506" spans="1:9" ht="24" x14ac:dyDescent="0.25">
      <c r="A506" s="341" t="s">
        <v>817</v>
      </c>
      <c r="B506" s="335"/>
      <c r="C506" s="2" t="s">
        <v>818</v>
      </c>
      <c r="D506" s="3">
        <v>0</v>
      </c>
      <c r="E506" s="3">
        <v>0</v>
      </c>
      <c r="F506" s="3">
        <v>0</v>
      </c>
      <c r="G506" s="3">
        <v>168.8</v>
      </c>
      <c r="H506" s="342">
        <v>0</v>
      </c>
      <c r="I506" s="335"/>
    </row>
    <row r="507" spans="1:9" x14ac:dyDescent="0.25">
      <c r="A507" s="341" t="s">
        <v>819</v>
      </c>
      <c r="B507" s="335"/>
      <c r="C507" s="2" t="s">
        <v>820</v>
      </c>
      <c r="D507" s="3">
        <v>0</v>
      </c>
      <c r="E507" s="3">
        <v>0</v>
      </c>
      <c r="F507" s="3">
        <v>85895.94</v>
      </c>
      <c r="G507" s="3">
        <v>26174.1</v>
      </c>
      <c r="H507" s="342">
        <v>0</v>
      </c>
      <c r="I507" s="335"/>
    </row>
    <row r="508" spans="1:9" x14ac:dyDescent="0.25">
      <c r="A508" s="341" t="s">
        <v>821</v>
      </c>
      <c r="B508" s="335"/>
      <c r="C508" s="2" t="s">
        <v>822</v>
      </c>
      <c r="D508" s="3">
        <v>0</v>
      </c>
      <c r="E508" s="3">
        <v>0</v>
      </c>
      <c r="F508" s="3">
        <v>0</v>
      </c>
      <c r="G508" s="3">
        <v>0</v>
      </c>
      <c r="H508" s="342">
        <v>0</v>
      </c>
      <c r="I508" s="335"/>
    </row>
    <row r="509" spans="1:9" x14ac:dyDescent="0.25">
      <c r="A509" s="341" t="s">
        <v>823</v>
      </c>
      <c r="B509" s="335"/>
      <c r="C509" s="2" t="s">
        <v>824</v>
      </c>
      <c r="D509" s="3">
        <v>0</v>
      </c>
      <c r="E509" s="3">
        <v>0</v>
      </c>
      <c r="F509" s="3">
        <v>0</v>
      </c>
      <c r="G509" s="3">
        <v>0</v>
      </c>
      <c r="H509" s="342">
        <v>0</v>
      </c>
      <c r="I509" s="335"/>
    </row>
    <row r="510" spans="1:9" x14ac:dyDescent="0.25">
      <c r="A510" s="341" t="s">
        <v>3259</v>
      </c>
      <c r="B510" s="335"/>
      <c r="C510" s="2" t="s">
        <v>3258</v>
      </c>
      <c r="D510" s="3">
        <v>77995.58</v>
      </c>
      <c r="E510" s="3">
        <v>0</v>
      </c>
      <c r="F510" s="3">
        <v>0</v>
      </c>
      <c r="G510" s="3">
        <v>0</v>
      </c>
      <c r="H510" s="342">
        <v>0</v>
      </c>
      <c r="I510" s="335"/>
    </row>
    <row r="511" spans="1:9" ht="24" x14ac:dyDescent="0.25">
      <c r="A511" s="341" t="s">
        <v>825</v>
      </c>
      <c r="B511" s="335"/>
      <c r="C511" s="2" t="s">
        <v>826</v>
      </c>
      <c r="D511" s="3">
        <v>0</v>
      </c>
      <c r="E511" s="3">
        <v>0</v>
      </c>
      <c r="F511" s="3">
        <v>0</v>
      </c>
      <c r="G511" s="3">
        <v>0</v>
      </c>
      <c r="H511" s="342">
        <v>0</v>
      </c>
      <c r="I511" s="335"/>
    </row>
    <row r="512" spans="1:9" ht="24" x14ac:dyDescent="0.25">
      <c r="A512" s="341" t="s">
        <v>827</v>
      </c>
      <c r="B512" s="335"/>
      <c r="C512" s="2" t="s">
        <v>828</v>
      </c>
      <c r="D512" s="3">
        <v>0</v>
      </c>
      <c r="E512" s="3">
        <v>0</v>
      </c>
      <c r="F512" s="3">
        <v>0</v>
      </c>
      <c r="G512" s="3">
        <v>0</v>
      </c>
      <c r="H512" s="342">
        <v>0</v>
      </c>
      <c r="I512" s="335"/>
    </row>
    <row r="513" spans="1:9" ht="24" x14ac:dyDescent="0.25">
      <c r="A513" s="341" t="s">
        <v>829</v>
      </c>
      <c r="B513" s="335"/>
      <c r="C513" s="2" t="s">
        <v>830</v>
      </c>
      <c r="D513" s="3">
        <v>5814.59</v>
      </c>
      <c r="E513" s="3">
        <v>0</v>
      </c>
      <c r="F513" s="3">
        <v>0</v>
      </c>
      <c r="G513" s="3">
        <v>0</v>
      </c>
      <c r="H513" s="342">
        <v>0</v>
      </c>
      <c r="I513" s="335"/>
    </row>
    <row r="514" spans="1:9" ht="24" x14ac:dyDescent="0.25">
      <c r="A514" s="341" t="s">
        <v>831</v>
      </c>
      <c r="B514" s="335"/>
      <c r="C514" s="2" t="s">
        <v>832</v>
      </c>
      <c r="D514" s="3">
        <v>300.69</v>
      </c>
      <c r="E514" s="3">
        <v>0</v>
      </c>
      <c r="F514" s="3">
        <v>0</v>
      </c>
      <c r="G514" s="3">
        <v>0</v>
      </c>
      <c r="H514" s="342">
        <v>0</v>
      </c>
      <c r="I514" s="335"/>
    </row>
    <row r="515" spans="1:9" x14ac:dyDescent="0.25">
      <c r="A515" s="341" t="s">
        <v>833</v>
      </c>
      <c r="B515" s="335"/>
      <c r="C515" s="2" t="s">
        <v>834</v>
      </c>
      <c r="D515" s="3">
        <v>11988.79</v>
      </c>
      <c r="E515" s="3">
        <v>294.89</v>
      </c>
      <c r="F515" s="3">
        <v>0</v>
      </c>
      <c r="G515" s="3">
        <v>0</v>
      </c>
      <c r="H515" s="342">
        <v>0</v>
      </c>
      <c r="I515" s="335"/>
    </row>
    <row r="516" spans="1:9" x14ac:dyDescent="0.25">
      <c r="A516" s="341" t="s">
        <v>835</v>
      </c>
      <c r="B516" s="335"/>
      <c r="C516" s="2" t="s">
        <v>836</v>
      </c>
      <c r="D516" s="3">
        <v>0</v>
      </c>
      <c r="E516" s="3">
        <v>1170.71</v>
      </c>
      <c r="F516" s="3">
        <v>0</v>
      </c>
      <c r="G516" s="3">
        <v>0</v>
      </c>
      <c r="H516" s="342">
        <v>0</v>
      </c>
      <c r="I516" s="335"/>
    </row>
    <row r="517" spans="1:9" ht="24" x14ac:dyDescent="0.25">
      <c r="A517" s="341" t="s">
        <v>837</v>
      </c>
      <c r="B517" s="335"/>
      <c r="C517" s="2" t="s">
        <v>838</v>
      </c>
      <c r="D517" s="3">
        <v>0</v>
      </c>
      <c r="E517" s="3">
        <v>3259.44</v>
      </c>
      <c r="F517" s="3">
        <v>33003.56</v>
      </c>
      <c r="G517" s="3">
        <v>25584.17</v>
      </c>
      <c r="H517" s="342">
        <v>0</v>
      </c>
      <c r="I517" s="335"/>
    </row>
    <row r="518" spans="1:9" ht="24" x14ac:dyDescent="0.25">
      <c r="A518" s="341" t="s">
        <v>839</v>
      </c>
      <c r="B518" s="335"/>
      <c r="C518" s="2" t="s">
        <v>840</v>
      </c>
      <c r="D518" s="3">
        <v>1313.92</v>
      </c>
      <c r="E518" s="3">
        <v>0</v>
      </c>
      <c r="F518" s="3">
        <v>0</v>
      </c>
      <c r="G518" s="3">
        <v>0</v>
      </c>
      <c r="H518" s="342">
        <v>0</v>
      </c>
      <c r="I518" s="335"/>
    </row>
    <row r="519" spans="1:9" ht="24" x14ac:dyDescent="0.25">
      <c r="A519" s="341" t="s">
        <v>841</v>
      </c>
      <c r="B519" s="335"/>
      <c r="C519" s="2" t="s">
        <v>842</v>
      </c>
      <c r="D519" s="3">
        <v>0</v>
      </c>
      <c r="E519" s="3">
        <v>0</v>
      </c>
      <c r="F519" s="3">
        <v>0</v>
      </c>
      <c r="G519" s="3">
        <v>0</v>
      </c>
      <c r="H519" s="342">
        <v>0</v>
      </c>
      <c r="I519" s="335"/>
    </row>
    <row r="520" spans="1:9" x14ac:dyDescent="0.25">
      <c r="A520" s="341" t="s">
        <v>843</v>
      </c>
      <c r="B520" s="335"/>
      <c r="C520" s="2" t="s">
        <v>844</v>
      </c>
      <c r="D520" s="3">
        <v>0</v>
      </c>
      <c r="E520" s="3">
        <v>0</v>
      </c>
      <c r="F520" s="3">
        <v>0</v>
      </c>
      <c r="G520" s="3">
        <v>0</v>
      </c>
      <c r="H520" s="342">
        <v>0</v>
      </c>
      <c r="I520" s="335"/>
    </row>
    <row r="521" spans="1:9" x14ac:dyDescent="0.25">
      <c r="A521" s="341" t="s">
        <v>845</v>
      </c>
      <c r="B521" s="335"/>
      <c r="C521" s="2" t="s">
        <v>846</v>
      </c>
      <c r="D521" s="3">
        <v>12116.05</v>
      </c>
      <c r="E521" s="3">
        <v>0</v>
      </c>
      <c r="F521" s="3">
        <v>0</v>
      </c>
      <c r="G521" s="3">
        <v>0</v>
      </c>
      <c r="H521" s="342">
        <v>0</v>
      </c>
      <c r="I521" s="335"/>
    </row>
    <row r="522" spans="1:9" x14ac:dyDescent="0.25">
      <c r="A522" s="341" t="s">
        <v>847</v>
      </c>
      <c r="B522" s="335"/>
      <c r="C522" s="2" t="s">
        <v>848</v>
      </c>
      <c r="D522" s="3">
        <v>0</v>
      </c>
      <c r="E522" s="3">
        <v>0</v>
      </c>
      <c r="F522" s="3">
        <v>0</v>
      </c>
      <c r="G522" s="3">
        <v>0</v>
      </c>
      <c r="H522" s="342">
        <v>0</v>
      </c>
      <c r="I522" s="335"/>
    </row>
    <row r="523" spans="1:9" x14ac:dyDescent="0.25">
      <c r="A523" s="341" t="s">
        <v>849</v>
      </c>
      <c r="B523" s="335"/>
      <c r="C523" s="2" t="s">
        <v>850</v>
      </c>
      <c r="D523" s="3">
        <v>0</v>
      </c>
      <c r="E523" s="3">
        <v>0</v>
      </c>
      <c r="F523" s="3">
        <v>0</v>
      </c>
      <c r="G523" s="3">
        <v>0</v>
      </c>
      <c r="H523" s="342">
        <v>0</v>
      </c>
      <c r="I523" s="335"/>
    </row>
    <row r="524" spans="1:9" x14ac:dyDescent="0.25">
      <c r="A524" s="341" t="s">
        <v>851</v>
      </c>
      <c r="B524" s="335"/>
      <c r="C524" s="2" t="s">
        <v>852</v>
      </c>
      <c r="D524" s="3">
        <v>0</v>
      </c>
      <c r="E524" s="3">
        <v>0</v>
      </c>
      <c r="F524" s="3">
        <v>0</v>
      </c>
      <c r="G524" s="3">
        <v>0</v>
      </c>
      <c r="H524" s="342">
        <v>0</v>
      </c>
      <c r="I524" s="335"/>
    </row>
    <row r="525" spans="1:9" x14ac:dyDescent="0.25">
      <c r="A525" s="341" t="s">
        <v>853</v>
      </c>
      <c r="B525" s="335"/>
      <c r="C525" s="2" t="s">
        <v>854</v>
      </c>
      <c r="D525" s="3">
        <v>162.80000000000001</v>
      </c>
      <c r="E525" s="3">
        <v>31371.11</v>
      </c>
      <c r="F525" s="3">
        <v>94059.75</v>
      </c>
      <c r="G525" s="3">
        <v>110108.64</v>
      </c>
      <c r="H525" s="342">
        <v>0</v>
      </c>
      <c r="I525" s="335"/>
    </row>
    <row r="526" spans="1:9" x14ac:dyDescent="0.25">
      <c r="A526" s="341" t="s">
        <v>855</v>
      </c>
      <c r="B526" s="335"/>
      <c r="C526" s="2" t="s">
        <v>856</v>
      </c>
      <c r="D526" s="3">
        <v>0</v>
      </c>
      <c r="E526" s="3">
        <v>0</v>
      </c>
      <c r="F526" s="3">
        <v>0</v>
      </c>
      <c r="G526" s="3">
        <v>0</v>
      </c>
      <c r="H526" s="342">
        <v>0</v>
      </c>
      <c r="I526" s="335"/>
    </row>
    <row r="527" spans="1:9" x14ac:dyDescent="0.25">
      <c r="A527" s="341" t="s">
        <v>857</v>
      </c>
      <c r="B527" s="335"/>
      <c r="C527" s="2" t="s">
        <v>858</v>
      </c>
      <c r="D527" s="3">
        <v>0</v>
      </c>
      <c r="E527" s="3">
        <v>0</v>
      </c>
      <c r="F527" s="3">
        <v>0</v>
      </c>
      <c r="G527" s="3">
        <v>0</v>
      </c>
      <c r="H527" s="342">
        <v>0</v>
      </c>
      <c r="I527" s="335"/>
    </row>
    <row r="528" spans="1:9" x14ac:dyDescent="0.25">
      <c r="A528" s="341" t="s">
        <v>859</v>
      </c>
      <c r="B528" s="335"/>
      <c r="C528" s="2" t="s">
        <v>860</v>
      </c>
      <c r="D528" s="3">
        <v>97.83</v>
      </c>
      <c r="E528" s="3">
        <v>0</v>
      </c>
      <c r="F528" s="3">
        <v>0</v>
      </c>
      <c r="G528" s="3">
        <v>0</v>
      </c>
      <c r="H528" s="342">
        <v>0</v>
      </c>
      <c r="I528" s="335"/>
    </row>
    <row r="529" spans="1:9" x14ac:dyDescent="0.25">
      <c r="A529" s="341" t="s">
        <v>861</v>
      </c>
      <c r="B529" s="335"/>
      <c r="C529" s="2" t="s">
        <v>862</v>
      </c>
      <c r="D529" s="3">
        <v>31703.66</v>
      </c>
      <c r="E529" s="3">
        <v>31361.21</v>
      </c>
      <c r="F529" s="3">
        <v>31064.639999999999</v>
      </c>
      <c r="G529" s="3">
        <v>22274.13</v>
      </c>
      <c r="H529" s="342">
        <v>0</v>
      </c>
      <c r="I529" s="335"/>
    </row>
    <row r="530" spans="1:9" x14ac:dyDescent="0.25">
      <c r="A530" s="341" t="s">
        <v>863</v>
      </c>
      <c r="B530" s="335"/>
      <c r="C530" s="2" t="s">
        <v>864</v>
      </c>
      <c r="D530" s="3">
        <v>0</v>
      </c>
      <c r="E530" s="3">
        <v>0</v>
      </c>
      <c r="F530" s="3">
        <v>0</v>
      </c>
      <c r="G530" s="3">
        <v>0</v>
      </c>
      <c r="H530" s="342">
        <v>0</v>
      </c>
      <c r="I530" s="335"/>
    </row>
    <row r="531" spans="1:9" x14ac:dyDescent="0.25">
      <c r="A531" s="341" t="s">
        <v>865</v>
      </c>
      <c r="B531" s="335"/>
      <c r="C531" s="2" t="s">
        <v>866</v>
      </c>
      <c r="D531" s="3">
        <v>0</v>
      </c>
      <c r="E531" s="3">
        <v>0</v>
      </c>
      <c r="F531" s="3">
        <v>0</v>
      </c>
      <c r="G531" s="3">
        <v>0</v>
      </c>
      <c r="H531" s="342">
        <v>0</v>
      </c>
      <c r="I531" s="335"/>
    </row>
    <row r="532" spans="1:9" x14ac:dyDescent="0.25">
      <c r="A532" s="341" t="s">
        <v>867</v>
      </c>
      <c r="B532" s="335"/>
      <c r="C532" s="2" t="s">
        <v>868</v>
      </c>
      <c r="D532" s="3">
        <v>0</v>
      </c>
      <c r="E532" s="3">
        <v>84667.839999999997</v>
      </c>
      <c r="F532" s="3">
        <v>0</v>
      </c>
      <c r="G532" s="3">
        <v>0</v>
      </c>
      <c r="H532" s="342">
        <v>0</v>
      </c>
      <c r="I532" s="335"/>
    </row>
    <row r="533" spans="1:9" x14ac:dyDescent="0.25">
      <c r="A533" s="341" t="s">
        <v>869</v>
      </c>
      <c r="B533" s="335"/>
      <c r="C533" s="2" t="s">
        <v>870</v>
      </c>
      <c r="D533" s="3">
        <v>0</v>
      </c>
      <c r="E533" s="3">
        <v>0</v>
      </c>
      <c r="F533" s="3">
        <v>0</v>
      </c>
      <c r="G533" s="3">
        <v>0</v>
      </c>
      <c r="H533" s="342">
        <v>0</v>
      </c>
      <c r="I533" s="335"/>
    </row>
    <row r="534" spans="1:9" x14ac:dyDescent="0.25">
      <c r="A534" s="341" t="s">
        <v>871</v>
      </c>
      <c r="B534" s="335"/>
      <c r="C534" s="2" t="s">
        <v>872</v>
      </c>
      <c r="D534" s="3">
        <v>0</v>
      </c>
      <c r="E534" s="3">
        <v>0</v>
      </c>
      <c r="F534" s="3">
        <v>0</v>
      </c>
      <c r="G534" s="3">
        <v>5892.83</v>
      </c>
      <c r="H534" s="342">
        <v>0</v>
      </c>
      <c r="I534" s="335"/>
    </row>
    <row r="535" spans="1:9" x14ac:dyDescent="0.25">
      <c r="A535" s="341" t="s">
        <v>873</v>
      </c>
      <c r="B535" s="335"/>
      <c r="C535" s="2" t="s">
        <v>874</v>
      </c>
      <c r="D535" s="3">
        <v>0</v>
      </c>
      <c r="E535" s="3">
        <v>119381.68</v>
      </c>
      <c r="F535" s="3">
        <v>23710.17</v>
      </c>
      <c r="G535" s="3">
        <v>776.88</v>
      </c>
      <c r="H535" s="342">
        <v>0</v>
      </c>
      <c r="I535" s="335"/>
    </row>
    <row r="536" spans="1:9" x14ac:dyDescent="0.25">
      <c r="A536" s="341" t="s">
        <v>875</v>
      </c>
      <c r="B536" s="335"/>
      <c r="C536" s="2" t="s">
        <v>876</v>
      </c>
      <c r="D536" s="3">
        <v>0</v>
      </c>
      <c r="E536" s="3">
        <v>0</v>
      </c>
      <c r="F536" s="3">
        <v>6407.5</v>
      </c>
      <c r="G536" s="3">
        <v>3617.5</v>
      </c>
      <c r="H536" s="342">
        <v>0</v>
      </c>
      <c r="I536" s="335"/>
    </row>
    <row r="537" spans="1:9" x14ac:dyDescent="0.25">
      <c r="A537" s="341" t="s">
        <v>877</v>
      </c>
      <c r="B537" s="335"/>
      <c r="C537" s="2" t="s">
        <v>878</v>
      </c>
      <c r="D537" s="3">
        <v>0</v>
      </c>
      <c r="E537" s="3">
        <v>0</v>
      </c>
      <c r="F537" s="3">
        <v>0</v>
      </c>
      <c r="G537" s="3">
        <v>0</v>
      </c>
      <c r="H537" s="342">
        <v>0</v>
      </c>
      <c r="I537" s="335"/>
    </row>
    <row r="538" spans="1:9" x14ac:dyDescent="0.25">
      <c r="A538" s="341" t="s">
        <v>879</v>
      </c>
      <c r="B538" s="335"/>
      <c r="C538" s="2" t="s">
        <v>880</v>
      </c>
      <c r="D538" s="3">
        <v>102728.18</v>
      </c>
      <c r="E538" s="3">
        <v>0</v>
      </c>
      <c r="F538" s="3">
        <v>0</v>
      </c>
      <c r="G538" s="3">
        <v>0</v>
      </c>
      <c r="H538" s="342">
        <v>0</v>
      </c>
      <c r="I538" s="335"/>
    </row>
    <row r="539" spans="1:9" x14ac:dyDescent="0.25">
      <c r="A539" s="341" t="s">
        <v>883</v>
      </c>
      <c r="B539" s="335"/>
      <c r="C539" s="2" t="s">
        <v>108</v>
      </c>
      <c r="D539" s="3">
        <v>9322.3799999999992</v>
      </c>
      <c r="E539" s="3">
        <v>9355.67</v>
      </c>
      <c r="F539" s="3">
        <v>27213.47</v>
      </c>
      <c r="G539" s="3">
        <v>15027.07</v>
      </c>
      <c r="H539" s="342">
        <v>0</v>
      </c>
      <c r="I539" s="335"/>
    </row>
    <row r="540" spans="1:9" x14ac:dyDescent="0.25">
      <c r="A540" s="341" t="s">
        <v>884</v>
      </c>
      <c r="B540" s="335"/>
      <c r="C540" s="2" t="s">
        <v>29</v>
      </c>
      <c r="D540" s="3">
        <v>2841.33</v>
      </c>
      <c r="E540" s="3">
        <v>2754.66</v>
      </c>
      <c r="F540" s="3">
        <v>7088.95</v>
      </c>
      <c r="G540" s="3">
        <v>4665.12</v>
      </c>
      <c r="H540" s="342">
        <v>0</v>
      </c>
      <c r="I540" s="335"/>
    </row>
    <row r="541" spans="1:9" x14ac:dyDescent="0.25">
      <c r="A541" s="341" t="s">
        <v>885</v>
      </c>
      <c r="B541" s="335"/>
      <c r="C541" s="2" t="s">
        <v>128</v>
      </c>
      <c r="D541" s="3">
        <v>224.91</v>
      </c>
      <c r="E541" s="3">
        <v>179.76</v>
      </c>
      <c r="F541" s="3">
        <v>669.4</v>
      </c>
      <c r="G541" s="3">
        <v>293.5</v>
      </c>
      <c r="H541" s="342">
        <v>0</v>
      </c>
      <c r="I541" s="335"/>
    </row>
    <row r="542" spans="1:9" x14ac:dyDescent="0.25">
      <c r="A542" s="341" t="s">
        <v>886</v>
      </c>
      <c r="B542" s="335"/>
      <c r="C542" s="2" t="s">
        <v>33</v>
      </c>
      <c r="D542" s="3">
        <v>1319.99</v>
      </c>
      <c r="E542" s="3">
        <v>1084.5899999999999</v>
      </c>
      <c r="F542" s="3">
        <v>3785.32</v>
      </c>
      <c r="G542" s="3">
        <v>1744.64</v>
      </c>
      <c r="H542" s="342">
        <v>0</v>
      </c>
      <c r="I542" s="335"/>
    </row>
    <row r="543" spans="1:9" x14ac:dyDescent="0.25">
      <c r="A543" s="341" t="s">
        <v>887</v>
      </c>
      <c r="B543" s="335"/>
      <c r="C543" s="2" t="s">
        <v>11</v>
      </c>
      <c r="D543" s="3">
        <v>702.1</v>
      </c>
      <c r="E543" s="3">
        <v>699.81</v>
      </c>
      <c r="F543" s="3">
        <v>2051.6999999999998</v>
      </c>
      <c r="G543" s="3">
        <v>1115.74</v>
      </c>
      <c r="H543" s="342">
        <v>0</v>
      </c>
      <c r="I543" s="335"/>
    </row>
    <row r="544" spans="1:9" x14ac:dyDescent="0.25">
      <c r="A544" s="341" t="s">
        <v>888</v>
      </c>
      <c r="B544" s="335"/>
      <c r="C544" s="2" t="s">
        <v>13</v>
      </c>
      <c r="D544" s="3">
        <v>13.65</v>
      </c>
      <c r="E544" s="3">
        <v>13.7</v>
      </c>
      <c r="F544" s="3">
        <v>39.94</v>
      </c>
      <c r="G544" s="3">
        <v>31.93</v>
      </c>
      <c r="H544" s="342">
        <v>0</v>
      </c>
      <c r="I544" s="335"/>
    </row>
    <row r="545" spans="1:9" x14ac:dyDescent="0.25">
      <c r="A545" s="341" t="s">
        <v>889</v>
      </c>
      <c r="B545" s="335"/>
      <c r="C545" s="2" t="s">
        <v>890</v>
      </c>
      <c r="D545" s="3">
        <v>13.59</v>
      </c>
      <c r="E545" s="3">
        <v>10.98</v>
      </c>
      <c r="F545" s="3">
        <v>39.54</v>
      </c>
      <c r="G545" s="3">
        <v>10.93</v>
      </c>
      <c r="H545" s="342">
        <v>0</v>
      </c>
      <c r="I545" s="335"/>
    </row>
    <row r="546" spans="1:9" x14ac:dyDescent="0.25">
      <c r="A546" s="341" t="s">
        <v>891</v>
      </c>
      <c r="B546" s="335"/>
      <c r="C546" s="2" t="s">
        <v>39</v>
      </c>
      <c r="D546" s="3">
        <v>0</v>
      </c>
      <c r="E546" s="3">
        <v>0</v>
      </c>
      <c r="F546" s="3">
        <v>4199.01</v>
      </c>
      <c r="G546" s="3">
        <v>1446.63</v>
      </c>
      <c r="H546" s="342">
        <v>0</v>
      </c>
      <c r="I546" s="335"/>
    </row>
    <row r="547" spans="1:9" x14ac:dyDescent="0.25">
      <c r="A547" s="341" t="s">
        <v>894</v>
      </c>
      <c r="B547" s="335"/>
      <c r="C547" s="2" t="s">
        <v>108</v>
      </c>
      <c r="D547" s="3">
        <v>92253.32</v>
      </c>
      <c r="E547" s="3">
        <v>69670.06</v>
      </c>
      <c r="F547" s="3">
        <v>89336.55</v>
      </c>
      <c r="G547" s="3">
        <v>56642.96</v>
      </c>
      <c r="H547" s="342">
        <v>0</v>
      </c>
      <c r="I547" s="335"/>
    </row>
    <row r="548" spans="1:9" x14ac:dyDescent="0.25">
      <c r="A548" s="341" t="s">
        <v>895</v>
      </c>
      <c r="B548" s="335"/>
      <c r="C548" s="2" t="s">
        <v>652</v>
      </c>
      <c r="D548" s="3">
        <v>38482.22</v>
      </c>
      <c r="E548" s="3">
        <v>19997.669999999998</v>
      </c>
      <c r="F548" s="3">
        <v>27206.35</v>
      </c>
      <c r="G548" s="3">
        <v>18922.52</v>
      </c>
      <c r="H548" s="342">
        <v>0</v>
      </c>
      <c r="I548" s="335"/>
    </row>
    <row r="549" spans="1:9" x14ac:dyDescent="0.25">
      <c r="A549" s="341" t="s">
        <v>896</v>
      </c>
      <c r="B549" s="335"/>
      <c r="C549" s="2" t="s">
        <v>29</v>
      </c>
      <c r="D549" s="3">
        <v>22488.95</v>
      </c>
      <c r="E549" s="3">
        <v>14949.79</v>
      </c>
      <c r="F549" s="3">
        <v>21684.52</v>
      </c>
      <c r="G549" s="3">
        <v>14132.53</v>
      </c>
      <c r="H549" s="342">
        <v>0</v>
      </c>
      <c r="I549" s="335"/>
    </row>
    <row r="550" spans="1:9" x14ac:dyDescent="0.25">
      <c r="A550" s="341" t="s">
        <v>897</v>
      </c>
      <c r="B550" s="335"/>
      <c r="C550" s="2" t="s">
        <v>128</v>
      </c>
      <c r="D550" s="3">
        <v>1352.15</v>
      </c>
      <c r="E550" s="3">
        <v>611.79</v>
      </c>
      <c r="F550" s="3">
        <v>772.19</v>
      </c>
      <c r="G550" s="3">
        <v>346.33</v>
      </c>
      <c r="H550" s="342">
        <v>0</v>
      </c>
      <c r="I550" s="335"/>
    </row>
    <row r="551" spans="1:9" x14ac:dyDescent="0.25">
      <c r="A551" s="341" t="s">
        <v>898</v>
      </c>
      <c r="B551" s="335"/>
      <c r="C551" s="2" t="s">
        <v>33</v>
      </c>
      <c r="D551" s="3">
        <v>19779.47</v>
      </c>
      <c r="E551" s="3">
        <v>13660.84</v>
      </c>
      <c r="F551" s="3">
        <v>15828.95</v>
      </c>
      <c r="G551" s="3">
        <v>9071.7900000000009</v>
      </c>
      <c r="H551" s="342">
        <v>0</v>
      </c>
      <c r="I551" s="335"/>
    </row>
    <row r="552" spans="1:9" x14ac:dyDescent="0.25">
      <c r="A552" s="341" t="s">
        <v>899</v>
      </c>
      <c r="B552" s="335"/>
      <c r="C552" s="2" t="s">
        <v>11</v>
      </c>
      <c r="D552" s="3">
        <v>9860.7800000000007</v>
      </c>
      <c r="E552" s="3">
        <v>6807.07</v>
      </c>
      <c r="F552" s="3">
        <v>8846.89</v>
      </c>
      <c r="G552" s="3">
        <v>5734.65</v>
      </c>
      <c r="H552" s="342">
        <v>0</v>
      </c>
      <c r="I552" s="335"/>
    </row>
    <row r="553" spans="1:9" x14ac:dyDescent="0.25">
      <c r="A553" s="341" t="s">
        <v>900</v>
      </c>
      <c r="B553" s="335"/>
      <c r="C553" s="2" t="s">
        <v>13</v>
      </c>
      <c r="D553" s="3">
        <v>181.77</v>
      </c>
      <c r="E553" s="3">
        <v>131.55000000000001</v>
      </c>
      <c r="F553" s="3">
        <v>171</v>
      </c>
      <c r="G553" s="3">
        <v>156.84</v>
      </c>
      <c r="H553" s="342">
        <v>0</v>
      </c>
      <c r="I553" s="335"/>
    </row>
    <row r="554" spans="1:9" x14ac:dyDescent="0.25">
      <c r="A554" s="341" t="s">
        <v>901</v>
      </c>
      <c r="B554" s="335"/>
      <c r="C554" s="2" t="s">
        <v>286</v>
      </c>
      <c r="D554" s="3">
        <v>60</v>
      </c>
      <c r="E554" s="3">
        <v>396.34</v>
      </c>
      <c r="F554" s="3">
        <v>192</v>
      </c>
      <c r="G554" s="3">
        <v>0</v>
      </c>
      <c r="H554" s="342">
        <v>0</v>
      </c>
      <c r="I554" s="335"/>
    </row>
    <row r="555" spans="1:9" x14ac:dyDescent="0.25">
      <c r="A555" s="341" t="s">
        <v>902</v>
      </c>
      <c r="B555" s="335"/>
      <c r="C555" s="2" t="s">
        <v>37</v>
      </c>
      <c r="D555" s="3">
        <v>1356.91</v>
      </c>
      <c r="E555" s="3">
        <v>1511.73</v>
      </c>
      <c r="F555" s="3">
        <v>1319.24</v>
      </c>
      <c r="G555" s="3">
        <v>620.84</v>
      </c>
      <c r="H555" s="342">
        <v>0</v>
      </c>
      <c r="I555" s="335"/>
    </row>
    <row r="556" spans="1:9" x14ac:dyDescent="0.25">
      <c r="A556" s="341" t="s">
        <v>903</v>
      </c>
      <c r="B556" s="335"/>
      <c r="C556" s="2" t="s">
        <v>39</v>
      </c>
      <c r="D556" s="3">
        <v>0</v>
      </c>
      <c r="E556" s="3">
        <v>167.89</v>
      </c>
      <c r="F556" s="3">
        <v>0</v>
      </c>
      <c r="G556" s="3">
        <v>0</v>
      </c>
      <c r="H556" s="342">
        <v>0</v>
      </c>
      <c r="I556" s="335"/>
    </row>
    <row r="557" spans="1:9" x14ac:dyDescent="0.25">
      <c r="A557" s="341" t="s">
        <v>904</v>
      </c>
      <c r="B557" s="335"/>
      <c r="C557" s="2" t="s">
        <v>905</v>
      </c>
      <c r="D557" s="3">
        <v>190.58</v>
      </c>
      <c r="E557" s="3">
        <v>1081.97</v>
      </c>
      <c r="F557" s="3">
        <v>240.62</v>
      </c>
      <c r="G557" s="3">
        <v>0</v>
      </c>
      <c r="H557" s="342">
        <v>0</v>
      </c>
      <c r="I557" s="335"/>
    </row>
    <row r="558" spans="1:9" x14ac:dyDescent="0.25">
      <c r="A558" s="341" t="s">
        <v>906</v>
      </c>
      <c r="B558" s="335"/>
      <c r="C558" s="2" t="s">
        <v>907</v>
      </c>
      <c r="D558" s="3">
        <v>130140.9</v>
      </c>
      <c r="E558" s="3">
        <v>115036.77</v>
      </c>
      <c r="F558" s="3">
        <v>135220.87</v>
      </c>
      <c r="G558" s="3">
        <v>115036.77</v>
      </c>
      <c r="H558" s="342">
        <v>0</v>
      </c>
      <c r="I558" s="335"/>
    </row>
    <row r="559" spans="1:9" x14ac:dyDescent="0.25">
      <c r="A559" s="341" t="s">
        <v>908</v>
      </c>
      <c r="B559" s="335"/>
      <c r="C559" s="2" t="s">
        <v>43</v>
      </c>
      <c r="D559" s="3">
        <v>66473.66</v>
      </c>
      <c r="E559" s="3">
        <v>57524.02</v>
      </c>
      <c r="F559" s="3">
        <v>86909.759999999995</v>
      </c>
      <c r="G559" s="3">
        <v>57524.02</v>
      </c>
      <c r="H559" s="342">
        <v>0</v>
      </c>
      <c r="I559" s="335"/>
    </row>
    <row r="560" spans="1:9" ht="24" x14ac:dyDescent="0.25">
      <c r="A560" s="341" t="s">
        <v>909</v>
      </c>
      <c r="B560" s="335"/>
      <c r="C560" s="2" t="s">
        <v>15</v>
      </c>
      <c r="D560" s="3">
        <v>9455.44</v>
      </c>
      <c r="E560" s="3">
        <v>8419.81</v>
      </c>
      <c r="F560" s="3">
        <v>6524.25</v>
      </c>
      <c r="G560" s="3">
        <v>8419.81</v>
      </c>
      <c r="H560" s="342">
        <v>0</v>
      </c>
      <c r="I560" s="335"/>
    </row>
    <row r="561" spans="1:9" x14ac:dyDescent="0.25">
      <c r="A561" s="341" t="s">
        <v>910</v>
      </c>
      <c r="B561" s="335"/>
      <c r="C561" s="2" t="s">
        <v>95</v>
      </c>
      <c r="D561" s="3">
        <v>0</v>
      </c>
      <c r="E561" s="3">
        <v>1974.19</v>
      </c>
      <c r="F561" s="3">
        <v>3168.97</v>
      </c>
      <c r="G561" s="3">
        <v>4783.7299999999996</v>
      </c>
      <c r="H561" s="342">
        <v>0</v>
      </c>
      <c r="I561" s="335"/>
    </row>
    <row r="562" spans="1:9" x14ac:dyDescent="0.25">
      <c r="A562" s="341" t="s">
        <v>911</v>
      </c>
      <c r="B562" s="335"/>
      <c r="C562" s="2" t="s">
        <v>912</v>
      </c>
      <c r="D562" s="3">
        <v>7263.53</v>
      </c>
      <c r="E562" s="3">
        <v>2786.25</v>
      </c>
      <c r="F562" s="3">
        <v>14603.3</v>
      </c>
      <c r="G562" s="3">
        <v>75396.13</v>
      </c>
      <c r="H562" s="342">
        <v>0</v>
      </c>
      <c r="I562" s="335"/>
    </row>
    <row r="563" spans="1:9" x14ac:dyDescent="0.25">
      <c r="A563" s="341" t="s">
        <v>913</v>
      </c>
      <c r="B563" s="335"/>
      <c r="C563" s="2" t="s">
        <v>99</v>
      </c>
      <c r="D563" s="3">
        <v>2213.34</v>
      </c>
      <c r="E563" s="3">
        <v>3563.68</v>
      </c>
      <c r="F563" s="3">
        <v>5367.47</v>
      </c>
      <c r="G563" s="3">
        <v>3155.36</v>
      </c>
      <c r="H563" s="342">
        <v>0</v>
      </c>
      <c r="I563" s="335"/>
    </row>
    <row r="564" spans="1:9" x14ac:dyDescent="0.25">
      <c r="A564" s="341" t="s">
        <v>914</v>
      </c>
      <c r="B564" s="335"/>
      <c r="C564" s="2" t="s">
        <v>17</v>
      </c>
      <c r="D564" s="3">
        <v>569</v>
      </c>
      <c r="E564" s="3">
        <v>0</v>
      </c>
      <c r="F564" s="3">
        <v>0</v>
      </c>
      <c r="G564" s="3">
        <v>0</v>
      </c>
      <c r="H564" s="342">
        <v>0</v>
      </c>
      <c r="I564" s="335"/>
    </row>
    <row r="565" spans="1:9" x14ac:dyDescent="0.25">
      <c r="A565" s="341" t="s">
        <v>915</v>
      </c>
      <c r="B565" s="335"/>
      <c r="C565" s="2" t="s">
        <v>144</v>
      </c>
      <c r="D565" s="3">
        <v>570.9</v>
      </c>
      <c r="E565" s="3">
        <v>1154.72</v>
      </c>
      <c r="F565" s="3">
        <v>602.91</v>
      </c>
      <c r="G565" s="3">
        <v>0</v>
      </c>
      <c r="H565" s="342">
        <v>0</v>
      </c>
      <c r="I565" s="335"/>
    </row>
    <row r="566" spans="1:9" x14ac:dyDescent="0.25">
      <c r="A566" s="341" t="s">
        <v>916</v>
      </c>
      <c r="B566" s="335"/>
      <c r="C566" s="2" t="s">
        <v>917</v>
      </c>
      <c r="D566" s="3">
        <v>2779.94</v>
      </c>
      <c r="E566" s="3">
        <v>1691.42</v>
      </c>
      <c r="F566" s="3">
        <v>1476.96</v>
      </c>
      <c r="G566" s="3">
        <v>1108.3499999999999</v>
      </c>
      <c r="H566" s="342">
        <v>0</v>
      </c>
      <c r="I566" s="335"/>
    </row>
    <row r="567" spans="1:9" x14ac:dyDescent="0.25">
      <c r="A567" s="341" t="s">
        <v>918</v>
      </c>
      <c r="B567" s="335"/>
      <c r="C567" s="2" t="s">
        <v>62</v>
      </c>
      <c r="D567" s="3">
        <v>885.61</v>
      </c>
      <c r="E567" s="3">
        <v>725.19</v>
      </c>
      <c r="F567" s="3">
        <v>621.24</v>
      </c>
      <c r="G567" s="3">
        <v>444.17</v>
      </c>
      <c r="H567" s="342">
        <v>0</v>
      </c>
      <c r="I567" s="335"/>
    </row>
    <row r="568" spans="1:9" x14ac:dyDescent="0.25">
      <c r="A568" s="341" t="s">
        <v>919</v>
      </c>
      <c r="B568" s="335"/>
      <c r="C568" s="2" t="s">
        <v>64</v>
      </c>
      <c r="D568" s="3">
        <v>766.28</v>
      </c>
      <c r="E568" s="3">
        <v>538.16</v>
      </c>
      <c r="F568" s="3">
        <v>398.71</v>
      </c>
      <c r="G568" s="3">
        <v>141</v>
      </c>
      <c r="H568" s="342">
        <v>0</v>
      </c>
      <c r="I568" s="335"/>
    </row>
    <row r="569" spans="1:9" x14ac:dyDescent="0.25">
      <c r="A569" s="341" t="s">
        <v>920</v>
      </c>
      <c r="B569" s="335"/>
      <c r="C569" s="2" t="s">
        <v>66</v>
      </c>
      <c r="D569" s="3">
        <v>2397.13</v>
      </c>
      <c r="E569" s="3">
        <v>215.24</v>
      </c>
      <c r="F569" s="3">
        <v>100</v>
      </c>
      <c r="G569" s="3">
        <v>550</v>
      </c>
      <c r="H569" s="342">
        <v>0</v>
      </c>
      <c r="I569" s="335"/>
    </row>
    <row r="570" spans="1:9" x14ac:dyDescent="0.25">
      <c r="A570" s="340" t="s">
        <v>3242</v>
      </c>
      <c r="B570" s="335"/>
      <c r="C570" s="1" t="s">
        <v>2</v>
      </c>
    </row>
    <row r="571" spans="1:9" x14ac:dyDescent="0.25">
      <c r="A571" s="341" t="s">
        <v>923</v>
      </c>
      <c r="B571" s="335"/>
      <c r="C571" s="2" t="s">
        <v>924</v>
      </c>
      <c r="D571" s="3">
        <v>4083.73</v>
      </c>
      <c r="E571" s="3">
        <v>4258.53</v>
      </c>
      <c r="F571" s="3">
        <v>3607.13</v>
      </c>
      <c r="G571" s="3">
        <v>7163.91</v>
      </c>
      <c r="H571" s="342">
        <v>0</v>
      </c>
      <c r="I571" s="335"/>
    </row>
    <row r="572" spans="1:9" x14ac:dyDescent="0.25">
      <c r="A572" s="341" t="s">
        <v>925</v>
      </c>
      <c r="B572" s="335"/>
      <c r="C572" s="2" t="s">
        <v>108</v>
      </c>
      <c r="D572" s="3">
        <v>147425.63</v>
      </c>
      <c r="E572" s="3">
        <v>155409.21</v>
      </c>
      <c r="F572" s="3">
        <v>172111.49</v>
      </c>
      <c r="G572" s="3">
        <v>138889.60000000001</v>
      </c>
      <c r="H572" s="342">
        <v>0</v>
      </c>
      <c r="I572" s="335"/>
    </row>
    <row r="573" spans="1:9" x14ac:dyDescent="0.25">
      <c r="A573" s="340" t="s">
        <v>3241</v>
      </c>
      <c r="B573" s="335"/>
      <c r="C573" s="1" t="s">
        <v>2</v>
      </c>
      <c r="D573" s="4">
        <v>151509.35999999999</v>
      </c>
      <c r="E573" s="4">
        <v>159667.74</v>
      </c>
      <c r="F573" s="4">
        <v>175718.62</v>
      </c>
      <c r="G573" s="4">
        <v>146053.51</v>
      </c>
      <c r="H573" s="343">
        <v>0</v>
      </c>
      <c r="I573" s="335"/>
    </row>
    <row r="574" spans="1:9" x14ac:dyDescent="0.25">
      <c r="A574" s="340" t="s">
        <v>2</v>
      </c>
      <c r="B574" s="335"/>
      <c r="C574" s="1" t="s">
        <v>2</v>
      </c>
      <c r="D574" s="1" t="s">
        <v>2</v>
      </c>
      <c r="E574" s="1" t="s">
        <v>2</v>
      </c>
      <c r="F574" s="1" t="s">
        <v>2</v>
      </c>
      <c r="G574" s="1" t="s">
        <v>2</v>
      </c>
      <c r="H574" s="340" t="s">
        <v>2</v>
      </c>
      <c r="I574" s="335"/>
    </row>
    <row r="575" spans="1:9" x14ac:dyDescent="0.25">
      <c r="A575" s="341" t="s">
        <v>926</v>
      </c>
      <c r="B575" s="335"/>
      <c r="C575" s="2" t="s">
        <v>786</v>
      </c>
      <c r="D575" s="3">
        <v>1406.8</v>
      </c>
      <c r="E575" s="3">
        <v>646.12</v>
      </c>
      <c r="F575" s="3">
        <v>726.88</v>
      </c>
      <c r="G575" s="3">
        <v>1653.46</v>
      </c>
      <c r="H575" s="342">
        <v>0</v>
      </c>
      <c r="I575" s="335"/>
    </row>
    <row r="576" spans="1:9" x14ac:dyDescent="0.25">
      <c r="A576" s="341" t="s">
        <v>927</v>
      </c>
      <c r="B576" s="335"/>
      <c r="C576" s="2" t="s">
        <v>29</v>
      </c>
      <c r="D576" s="3">
        <v>41440.65</v>
      </c>
      <c r="E576" s="3">
        <v>35875.43</v>
      </c>
      <c r="F576" s="3">
        <v>41608.400000000001</v>
      </c>
      <c r="G576" s="3">
        <v>35131.26</v>
      </c>
      <c r="H576" s="342">
        <v>0</v>
      </c>
      <c r="I576" s="335"/>
    </row>
    <row r="577" spans="1:9" x14ac:dyDescent="0.25">
      <c r="A577" s="341" t="s">
        <v>928</v>
      </c>
      <c r="B577" s="335"/>
      <c r="C577" s="2" t="s">
        <v>128</v>
      </c>
      <c r="D577" s="3">
        <v>3979.53</v>
      </c>
      <c r="E577" s="3">
        <v>3525.36</v>
      </c>
      <c r="F577" s="3">
        <v>4223.33</v>
      </c>
      <c r="G577" s="3">
        <v>2860.15</v>
      </c>
      <c r="H577" s="342">
        <v>0</v>
      </c>
      <c r="I577" s="335"/>
    </row>
    <row r="578" spans="1:9" x14ac:dyDescent="0.25">
      <c r="A578" s="341" t="s">
        <v>929</v>
      </c>
      <c r="B578" s="335"/>
      <c r="C578" s="2" t="s">
        <v>33</v>
      </c>
      <c r="D578" s="3">
        <v>20997.67</v>
      </c>
      <c r="E578" s="3">
        <v>22296.03</v>
      </c>
      <c r="F578" s="3">
        <v>23441.599999999999</v>
      </c>
      <c r="G578" s="3">
        <v>16338.6</v>
      </c>
      <c r="H578" s="342">
        <v>0</v>
      </c>
      <c r="I578" s="335"/>
    </row>
    <row r="579" spans="1:9" x14ac:dyDescent="0.25">
      <c r="A579" s="341" t="s">
        <v>930</v>
      </c>
      <c r="B579" s="335"/>
      <c r="C579" s="2" t="s">
        <v>11</v>
      </c>
      <c r="D579" s="3">
        <v>11446.18</v>
      </c>
      <c r="E579" s="3">
        <v>12082.06</v>
      </c>
      <c r="F579" s="3">
        <v>13290.8</v>
      </c>
      <c r="G579" s="3">
        <v>11038.81</v>
      </c>
      <c r="H579" s="342">
        <v>0</v>
      </c>
      <c r="I579" s="335"/>
    </row>
    <row r="580" spans="1:9" x14ac:dyDescent="0.25">
      <c r="A580" s="341" t="s">
        <v>931</v>
      </c>
      <c r="B580" s="335"/>
      <c r="C580" s="2" t="s">
        <v>85</v>
      </c>
      <c r="D580" s="3">
        <v>2689.32</v>
      </c>
      <c r="E580" s="3">
        <v>3285.17</v>
      </c>
      <c r="F580" s="3">
        <v>2150.1799999999998</v>
      </c>
      <c r="G580" s="3">
        <v>2715.34</v>
      </c>
      <c r="H580" s="342">
        <v>0</v>
      </c>
      <c r="I580" s="335"/>
    </row>
    <row r="581" spans="1:9" x14ac:dyDescent="0.25">
      <c r="A581" s="341" t="s">
        <v>932</v>
      </c>
      <c r="B581" s="335"/>
      <c r="C581" s="2" t="s">
        <v>577</v>
      </c>
      <c r="D581" s="3">
        <v>37.729999999999997</v>
      </c>
      <c r="E581" s="3">
        <v>13.41</v>
      </c>
      <c r="F581" s="3">
        <v>14.45</v>
      </c>
      <c r="G581" s="3">
        <v>29.17</v>
      </c>
      <c r="H581" s="342">
        <v>0</v>
      </c>
      <c r="I581" s="335"/>
    </row>
    <row r="582" spans="1:9" x14ac:dyDescent="0.25">
      <c r="A582" s="341" t="s">
        <v>933</v>
      </c>
      <c r="B582" s="335"/>
      <c r="C582" s="2" t="s">
        <v>579</v>
      </c>
      <c r="D582" s="3">
        <v>197.61</v>
      </c>
      <c r="E582" s="3">
        <v>91.57</v>
      </c>
      <c r="F582" s="3">
        <v>95.27</v>
      </c>
      <c r="G582" s="3">
        <v>193.84</v>
      </c>
      <c r="H582" s="342">
        <v>0</v>
      </c>
      <c r="I582" s="335"/>
    </row>
    <row r="583" spans="1:9" x14ac:dyDescent="0.25">
      <c r="A583" s="341" t="s">
        <v>934</v>
      </c>
      <c r="B583" s="335"/>
      <c r="C583" s="2" t="s">
        <v>581</v>
      </c>
      <c r="D583" s="3">
        <v>106.54</v>
      </c>
      <c r="E583" s="3">
        <v>48.75</v>
      </c>
      <c r="F583" s="3">
        <v>55.21</v>
      </c>
      <c r="G583" s="3">
        <v>124.84</v>
      </c>
      <c r="H583" s="342">
        <v>0</v>
      </c>
      <c r="I583" s="335"/>
    </row>
    <row r="584" spans="1:9" x14ac:dyDescent="0.25">
      <c r="A584" s="341" t="s">
        <v>935</v>
      </c>
      <c r="B584" s="335"/>
      <c r="C584" s="2" t="s">
        <v>13</v>
      </c>
      <c r="D584" s="3">
        <v>216.9</v>
      </c>
      <c r="E584" s="3">
        <v>235.66</v>
      </c>
      <c r="F584" s="3">
        <v>258.81</v>
      </c>
      <c r="G584" s="3">
        <v>312.23</v>
      </c>
      <c r="H584" s="342">
        <v>0</v>
      </c>
      <c r="I584" s="335"/>
    </row>
    <row r="585" spans="1:9" x14ac:dyDescent="0.25">
      <c r="A585" s="341" t="s">
        <v>936</v>
      </c>
      <c r="B585" s="335"/>
      <c r="C585" s="2" t="s">
        <v>458</v>
      </c>
      <c r="D585" s="3">
        <v>643.91</v>
      </c>
      <c r="E585" s="3">
        <v>437.99</v>
      </c>
      <c r="F585" s="3">
        <v>602.62</v>
      </c>
      <c r="G585" s="3">
        <v>162.16</v>
      </c>
      <c r="H585" s="342">
        <v>0</v>
      </c>
      <c r="I585" s="335"/>
    </row>
    <row r="586" spans="1:9" x14ac:dyDescent="0.25">
      <c r="A586" s="341" t="s">
        <v>937</v>
      </c>
      <c r="B586" s="335"/>
      <c r="C586" s="2" t="s">
        <v>585</v>
      </c>
      <c r="D586" s="3">
        <v>0</v>
      </c>
      <c r="E586" s="3">
        <v>0</v>
      </c>
      <c r="F586" s="3">
        <v>0</v>
      </c>
      <c r="G586" s="3">
        <v>13.5</v>
      </c>
      <c r="H586" s="342">
        <v>0</v>
      </c>
      <c r="I586" s="335"/>
    </row>
    <row r="587" spans="1:9" x14ac:dyDescent="0.25">
      <c r="A587" s="341" t="s">
        <v>938</v>
      </c>
      <c r="B587" s="335"/>
      <c r="C587" s="2" t="s">
        <v>39</v>
      </c>
      <c r="D587" s="3">
        <v>20941.8</v>
      </c>
      <c r="E587" s="3">
        <v>11369.05</v>
      </c>
      <c r="F587" s="3">
        <v>19736.37</v>
      </c>
      <c r="G587" s="3">
        <v>21361.59</v>
      </c>
      <c r="H587" s="342">
        <v>0</v>
      </c>
      <c r="I587" s="335"/>
    </row>
    <row r="588" spans="1:9" x14ac:dyDescent="0.25">
      <c r="A588" s="341" t="s">
        <v>939</v>
      </c>
      <c r="B588" s="335"/>
      <c r="C588" s="2" t="s">
        <v>940</v>
      </c>
      <c r="D588" s="3">
        <v>0</v>
      </c>
      <c r="E588" s="3">
        <v>157.47</v>
      </c>
      <c r="F588" s="3">
        <v>0</v>
      </c>
      <c r="G588" s="3">
        <v>2327.73</v>
      </c>
      <c r="H588" s="342">
        <v>0</v>
      </c>
      <c r="I588" s="335"/>
    </row>
    <row r="589" spans="1:9" x14ac:dyDescent="0.25">
      <c r="A589" s="341" t="s">
        <v>941</v>
      </c>
      <c r="B589" s="335"/>
      <c r="C589" s="2" t="s">
        <v>942</v>
      </c>
      <c r="D589" s="3">
        <v>0</v>
      </c>
      <c r="E589" s="3">
        <v>0</v>
      </c>
      <c r="F589" s="3">
        <v>5146.8500000000004</v>
      </c>
      <c r="G589" s="3">
        <v>412.5</v>
      </c>
      <c r="H589" s="342">
        <v>0</v>
      </c>
      <c r="I589" s="335"/>
    </row>
    <row r="590" spans="1:9" x14ac:dyDescent="0.25">
      <c r="A590" s="341" t="s">
        <v>943</v>
      </c>
      <c r="B590" s="335"/>
      <c r="C590" s="2" t="s">
        <v>944</v>
      </c>
      <c r="D590" s="3">
        <v>793.04</v>
      </c>
      <c r="E590" s="3">
        <v>1033.8499999999999</v>
      </c>
      <c r="F590" s="3">
        <v>1056.49</v>
      </c>
      <c r="G590" s="3">
        <v>431.96</v>
      </c>
      <c r="H590" s="342">
        <v>0</v>
      </c>
      <c r="I590" s="335"/>
    </row>
    <row r="591" spans="1:9" x14ac:dyDescent="0.25">
      <c r="A591" s="341" t="s">
        <v>945</v>
      </c>
      <c r="B591" s="335"/>
      <c r="C591" s="2" t="s">
        <v>17</v>
      </c>
      <c r="D591" s="3">
        <v>46</v>
      </c>
      <c r="E591" s="3">
        <v>0</v>
      </c>
      <c r="F591" s="3">
        <v>0</v>
      </c>
      <c r="G591" s="3">
        <v>0</v>
      </c>
      <c r="H591" s="342">
        <v>0</v>
      </c>
      <c r="I591" s="335"/>
    </row>
    <row r="592" spans="1:9" x14ac:dyDescent="0.25">
      <c r="A592" s="341" t="s">
        <v>946</v>
      </c>
      <c r="B592" s="335"/>
      <c r="C592" s="2" t="s">
        <v>947</v>
      </c>
      <c r="D592" s="3">
        <v>301.77</v>
      </c>
      <c r="E592" s="3">
        <v>0</v>
      </c>
      <c r="F592" s="3">
        <v>400.68</v>
      </c>
      <c r="G592" s="3">
        <v>0</v>
      </c>
      <c r="H592" s="342">
        <v>0</v>
      </c>
      <c r="I592" s="335"/>
    </row>
    <row r="593" spans="1:9" x14ac:dyDescent="0.25">
      <c r="A593" s="341" t="s">
        <v>948</v>
      </c>
      <c r="B593" s="335"/>
      <c r="C593" s="2" t="s">
        <v>949</v>
      </c>
      <c r="D593" s="3">
        <v>12231.86</v>
      </c>
      <c r="E593" s="3">
        <v>31713.03</v>
      </c>
      <c r="F593" s="3">
        <v>0</v>
      </c>
      <c r="G593" s="3">
        <v>0</v>
      </c>
      <c r="H593" s="342">
        <v>0</v>
      </c>
      <c r="I593" s="335"/>
    </row>
    <row r="594" spans="1:9" x14ac:dyDescent="0.25">
      <c r="A594" s="341" t="s">
        <v>950</v>
      </c>
      <c r="B594" s="335"/>
      <c r="C594" s="2" t="s">
        <v>951</v>
      </c>
      <c r="D594" s="3">
        <v>8473.17</v>
      </c>
      <c r="E594" s="3">
        <v>9965.36</v>
      </c>
      <c r="F594" s="3">
        <v>7818.6</v>
      </c>
      <c r="G594" s="3">
        <v>7685.87</v>
      </c>
      <c r="H594" s="342">
        <v>0</v>
      </c>
      <c r="I594" s="335"/>
    </row>
    <row r="595" spans="1:9" x14ac:dyDescent="0.25">
      <c r="A595" s="341" t="s">
        <v>952</v>
      </c>
      <c r="B595" s="335"/>
      <c r="C595" s="2" t="s">
        <v>953</v>
      </c>
      <c r="D595" s="3">
        <v>0</v>
      </c>
      <c r="E595" s="3">
        <v>0</v>
      </c>
      <c r="F595" s="3">
        <v>5614.35</v>
      </c>
      <c r="G595" s="3">
        <v>0</v>
      </c>
      <c r="H595" s="342">
        <v>0</v>
      </c>
      <c r="I595" s="335"/>
    </row>
    <row r="596" spans="1:9" x14ac:dyDescent="0.25">
      <c r="A596" s="341" t="s">
        <v>954</v>
      </c>
      <c r="B596" s="335"/>
      <c r="C596" s="2" t="s">
        <v>64</v>
      </c>
      <c r="D596" s="3">
        <v>4313.1899999999996</v>
      </c>
      <c r="E596" s="3">
        <v>2529.59</v>
      </c>
      <c r="F596" s="3">
        <v>3234.69</v>
      </c>
      <c r="G596" s="3">
        <v>2361.9899999999998</v>
      </c>
      <c r="H596" s="342">
        <v>0</v>
      </c>
      <c r="I596" s="335"/>
    </row>
    <row r="597" spans="1:9" x14ac:dyDescent="0.25">
      <c r="A597" s="341" t="s">
        <v>955</v>
      </c>
      <c r="B597" s="335"/>
      <c r="C597" s="2" t="s">
        <v>956</v>
      </c>
      <c r="D597" s="3">
        <v>102</v>
      </c>
      <c r="E597" s="3">
        <v>102</v>
      </c>
      <c r="F597" s="3">
        <v>2036.68</v>
      </c>
      <c r="G597" s="3">
        <v>0</v>
      </c>
      <c r="H597" s="342">
        <v>0</v>
      </c>
      <c r="I597" s="335"/>
    </row>
    <row r="598" spans="1:9" x14ac:dyDescent="0.25">
      <c r="A598" s="341" t="s">
        <v>957</v>
      </c>
      <c r="B598" s="335"/>
      <c r="C598" s="2" t="s">
        <v>624</v>
      </c>
      <c r="D598" s="3">
        <v>888.63</v>
      </c>
      <c r="E598" s="3">
        <v>4160.4399999999996</v>
      </c>
      <c r="F598" s="3">
        <v>3611.42</v>
      </c>
      <c r="G598" s="3">
        <v>1184.33</v>
      </c>
      <c r="H598" s="342">
        <v>0</v>
      </c>
      <c r="I598" s="335"/>
    </row>
    <row r="599" spans="1:9" x14ac:dyDescent="0.25">
      <c r="A599" s="341" t="s">
        <v>958</v>
      </c>
      <c r="B599" s="335"/>
      <c r="C599" s="2" t="s">
        <v>626</v>
      </c>
      <c r="D599" s="3">
        <v>387</v>
      </c>
      <c r="E599" s="3">
        <v>0</v>
      </c>
      <c r="F599" s="3">
        <v>152.5</v>
      </c>
      <c r="G599" s="3">
        <v>0</v>
      </c>
      <c r="H599" s="342">
        <v>0</v>
      </c>
      <c r="I599" s="335"/>
    </row>
    <row r="600" spans="1:9" x14ac:dyDescent="0.25">
      <c r="A600" s="341" t="s">
        <v>961</v>
      </c>
      <c r="B600" s="335"/>
      <c r="C600" s="2" t="s">
        <v>962</v>
      </c>
      <c r="D600" s="3">
        <v>148833.01</v>
      </c>
      <c r="E600" s="3">
        <v>135783.82</v>
      </c>
      <c r="F600" s="3">
        <v>176304.03</v>
      </c>
      <c r="G600" s="3">
        <v>108073.88</v>
      </c>
      <c r="H600" s="342">
        <v>0</v>
      </c>
      <c r="I600" s="335"/>
    </row>
    <row r="601" spans="1:9" x14ac:dyDescent="0.25">
      <c r="A601" s="341" t="s">
        <v>965</v>
      </c>
      <c r="B601" s="335"/>
      <c r="C601" s="2" t="s">
        <v>108</v>
      </c>
      <c r="D601" s="3">
        <v>42893.58</v>
      </c>
      <c r="E601" s="3">
        <v>33671.81</v>
      </c>
      <c r="F601" s="3">
        <v>43544.84</v>
      </c>
      <c r="G601" s="3">
        <v>49249.88</v>
      </c>
      <c r="H601" s="342">
        <v>0</v>
      </c>
      <c r="I601" s="335"/>
    </row>
    <row r="602" spans="1:9" x14ac:dyDescent="0.25">
      <c r="A602" s="341" t="s">
        <v>966</v>
      </c>
      <c r="B602" s="335"/>
      <c r="C602" s="2" t="s">
        <v>569</v>
      </c>
      <c r="D602" s="3">
        <v>1467.54</v>
      </c>
      <c r="E602" s="3">
        <v>1531.28</v>
      </c>
      <c r="F602" s="3">
        <v>1870.17</v>
      </c>
      <c r="G602" s="3">
        <v>571.08000000000004</v>
      </c>
      <c r="H602" s="342">
        <v>0</v>
      </c>
      <c r="I602" s="335"/>
    </row>
    <row r="603" spans="1:9" x14ac:dyDescent="0.25">
      <c r="A603" s="341" t="s">
        <v>967</v>
      </c>
      <c r="B603" s="335"/>
      <c r="C603" s="2" t="s">
        <v>29</v>
      </c>
      <c r="D603" s="3">
        <v>13020.77</v>
      </c>
      <c r="E603" s="3">
        <v>9731.32</v>
      </c>
      <c r="F603" s="3">
        <v>12333.87</v>
      </c>
      <c r="G603" s="3">
        <v>14035.5</v>
      </c>
      <c r="H603" s="342">
        <v>0</v>
      </c>
      <c r="I603" s="335"/>
    </row>
    <row r="604" spans="1:9" x14ac:dyDescent="0.25">
      <c r="A604" s="341" t="s">
        <v>968</v>
      </c>
      <c r="B604" s="335"/>
      <c r="C604" s="2" t="s">
        <v>128</v>
      </c>
      <c r="D604" s="3">
        <v>1136.42</v>
      </c>
      <c r="E604" s="3">
        <v>672.12</v>
      </c>
      <c r="F604" s="3">
        <v>1084.33</v>
      </c>
      <c r="G604" s="3">
        <v>889.2</v>
      </c>
      <c r="H604" s="342">
        <v>0</v>
      </c>
      <c r="I604" s="335"/>
    </row>
    <row r="605" spans="1:9" x14ac:dyDescent="0.25">
      <c r="A605" s="341" t="s">
        <v>969</v>
      </c>
      <c r="B605" s="335"/>
      <c r="C605" s="2" t="s">
        <v>33</v>
      </c>
      <c r="D605" s="3">
        <v>6237.07</v>
      </c>
      <c r="E605" s="3">
        <v>4836.8900000000003</v>
      </c>
      <c r="F605" s="3">
        <v>5817.7</v>
      </c>
      <c r="G605" s="3">
        <v>5748.28</v>
      </c>
      <c r="H605" s="342">
        <v>0</v>
      </c>
      <c r="I605" s="335"/>
    </row>
    <row r="606" spans="1:9" x14ac:dyDescent="0.25">
      <c r="A606" s="341" t="s">
        <v>970</v>
      </c>
      <c r="B606" s="335"/>
      <c r="C606" s="2" t="s">
        <v>11</v>
      </c>
      <c r="D606" s="3">
        <v>3342.78</v>
      </c>
      <c r="E606" s="3">
        <v>2653.7</v>
      </c>
      <c r="F606" s="3">
        <v>3420.49</v>
      </c>
      <c r="G606" s="3">
        <v>3752.66</v>
      </c>
      <c r="H606" s="342">
        <v>0</v>
      </c>
      <c r="I606" s="335"/>
    </row>
    <row r="607" spans="1:9" x14ac:dyDescent="0.25">
      <c r="A607" s="341" t="s">
        <v>971</v>
      </c>
      <c r="B607" s="335"/>
      <c r="C607" s="2" t="s">
        <v>13</v>
      </c>
      <c r="D607" s="3">
        <v>58.55</v>
      </c>
      <c r="E607" s="3">
        <v>51.96</v>
      </c>
      <c r="F607" s="3">
        <v>66.540000000000006</v>
      </c>
      <c r="G607" s="3">
        <v>106.37</v>
      </c>
      <c r="H607" s="342">
        <v>0</v>
      </c>
      <c r="I607" s="335"/>
    </row>
    <row r="608" spans="1:9" x14ac:dyDescent="0.25">
      <c r="A608" s="341" t="s">
        <v>972</v>
      </c>
      <c r="B608" s="335"/>
      <c r="C608" s="2" t="s">
        <v>973</v>
      </c>
      <c r="D608" s="3">
        <v>137.37</v>
      </c>
      <c r="E608" s="3">
        <v>198.4</v>
      </c>
      <c r="F608" s="3">
        <v>168.27</v>
      </c>
      <c r="G608" s="3">
        <v>46.25</v>
      </c>
      <c r="H608" s="342">
        <v>0</v>
      </c>
      <c r="I608" s="335"/>
    </row>
    <row r="609" spans="1:9" x14ac:dyDescent="0.25">
      <c r="A609" s="341" t="s">
        <v>974</v>
      </c>
      <c r="B609" s="335"/>
      <c r="C609" s="2" t="s">
        <v>585</v>
      </c>
      <c r="D609" s="3">
        <v>0</v>
      </c>
      <c r="E609" s="3">
        <v>90</v>
      </c>
      <c r="F609" s="3">
        <v>0</v>
      </c>
      <c r="G609" s="3">
        <v>1.67</v>
      </c>
      <c r="H609" s="342">
        <v>0</v>
      </c>
      <c r="I609" s="335"/>
    </row>
    <row r="610" spans="1:9" x14ac:dyDescent="0.25">
      <c r="A610" s="341" t="s">
        <v>975</v>
      </c>
      <c r="B610" s="335"/>
      <c r="C610" s="2" t="s">
        <v>39</v>
      </c>
      <c r="D610" s="3">
        <v>20761.419999999998</v>
      </c>
      <c r="E610" s="3">
        <v>24839.16</v>
      </c>
      <c r="F610" s="3">
        <v>17833.98</v>
      </c>
      <c r="G610" s="3">
        <v>34953.879999999997</v>
      </c>
      <c r="H610" s="342">
        <v>0</v>
      </c>
      <c r="I610" s="335"/>
    </row>
    <row r="611" spans="1:9" x14ac:dyDescent="0.25">
      <c r="A611" s="341" t="s">
        <v>976</v>
      </c>
      <c r="B611" s="335"/>
      <c r="C611" s="2" t="s">
        <v>940</v>
      </c>
      <c r="D611" s="3">
        <v>0</v>
      </c>
      <c r="E611" s="3">
        <v>0</v>
      </c>
      <c r="F611" s="3">
        <v>0</v>
      </c>
      <c r="G611" s="3">
        <v>0</v>
      </c>
      <c r="H611" s="342">
        <v>0</v>
      </c>
      <c r="I611" s="335"/>
    </row>
    <row r="612" spans="1:9" x14ac:dyDescent="0.25">
      <c r="A612" s="341" t="s">
        <v>977</v>
      </c>
      <c r="B612" s="335"/>
      <c r="C612" s="2" t="s">
        <v>947</v>
      </c>
      <c r="D612" s="3">
        <v>7711.24</v>
      </c>
      <c r="E612" s="3">
        <v>8558.67</v>
      </c>
      <c r="F612" s="3">
        <v>3492.49</v>
      </c>
      <c r="G612" s="3">
        <v>613.46</v>
      </c>
      <c r="H612" s="342">
        <v>0</v>
      </c>
      <c r="I612" s="335"/>
    </row>
    <row r="613" spans="1:9" x14ac:dyDescent="0.25">
      <c r="A613" s="341" t="s">
        <v>980</v>
      </c>
      <c r="B613" s="335"/>
      <c r="C613" s="2" t="s">
        <v>108</v>
      </c>
      <c r="D613" s="3">
        <v>20935.990000000002</v>
      </c>
      <c r="E613" s="3">
        <v>16107.74</v>
      </c>
      <c r="F613" s="3">
        <v>5887.06</v>
      </c>
      <c r="G613" s="3">
        <v>26429.25</v>
      </c>
      <c r="H613" s="342">
        <v>0</v>
      </c>
      <c r="I613" s="335"/>
    </row>
    <row r="614" spans="1:9" x14ac:dyDescent="0.25">
      <c r="A614" s="341" t="s">
        <v>981</v>
      </c>
      <c r="B614" s="335"/>
      <c r="C614" s="2" t="s">
        <v>786</v>
      </c>
      <c r="D614" s="3">
        <v>7799.93</v>
      </c>
      <c r="E614" s="3">
        <v>3161.19</v>
      </c>
      <c r="F614" s="3">
        <v>9678.7900000000009</v>
      </c>
      <c r="G614" s="3">
        <v>13999.44</v>
      </c>
      <c r="H614" s="342">
        <v>0</v>
      </c>
      <c r="I614" s="335"/>
    </row>
    <row r="615" spans="1:9" x14ac:dyDescent="0.25">
      <c r="A615" s="341" t="s">
        <v>982</v>
      </c>
      <c r="B615" s="335"/>
      <c r="C615" s="2" t="s">
        <v>29</v>
      </c>
      <c r="D615" s="3">
        <v>6966</v>
      </c>
      <c r="E615" s="3">
        <v>4415.47</v>
      </c>
      <c r="F615" s="3">
        <v>3106.03</v>
      </c>
      <c r="G615" s="3">
        <v>9315.51</v>
      </c>
      <c r="H615" s="342">
        <v>0</v>
      </c>
      <c r="I615" s="335"/>
    </row>
    <row r="616" spans="1:9" x14ac:dyDescent="0.25">
      <c r="A616" s="341" t="s">
        <v>983</v>
      </c>
      <c r="B616" s="335"/>
      <c r="C616" s="2" t="s">
        <v>128</v>
      </c>
      <c r="D616" s="3">
        <v>654.66999999999996</v>
      </c>
      <c r="E616" s="3">
        <v>397.86</v>
      </c>
      <c r="F616" s="3">
        <v>111.98</v>
      </c>
      <c r="G616" s="3">
        <v>554.79</v>
      </c>
      <c r="H616" s="342">
        <v>0</v>
      </c>
      <c r="I616" s="335"/>
    </row>
    <row r="617" spans="1:9" x14ac:dyDescent="0.25">
      <c r="A617" s="341" t="s">
        <v>984</v>
      </c>
      <c r="B617" s="335"/>
      <c r="C617" s="2" t="s">
        <v>33</v>
      </c>
      <c r="D617" s="3">
        <v>2968.4</v>
      </c>
      <c r="E617" s="3">
        <v>2122.58</v>
      </c>
      <c r="F617" s="3">
        <v>812.26</v>
      </c>
      <c r="G617" s="3">
        <v>2997.62</v>
      </c>
      <c r="H617" s="342">
        <v>0</v>
      </c>
      <c r="I617" s="335"/>
    </row>
    <row r="618" spans="1:9" x14ac:dyDescent="0.25">
      <c r="A618" s="341" t="s">
        <v>985</v>
      </c>
      <c r="B618" s="335"/>
      <c r="C618" s="2" t="s">
        <v>11</v>
      </c>
      <c r="D618" s="3">
        <v>1581.51</v>
      </c>
      <c r="E618" s="3">
        <v>1217.3599999999999</v>
      </c>
      <c r="F618" s="3">
        <v>444.2</v>
      </c>
      <c r="G618" s="3">
        <v>1995.38</v>
      </c>
      <c r="H618" s="342">
        <v>0</v>
      </c>
      <c r="I618" s="335"/>
    </row>
    <row r="619" spans="1:9" x14ac:dyDescent="0.25">
      <c r="A619" s="341" t="s">
        <v>986</v>
      </c>
      <c r="B619" s="335"/>
      <c r="C619" s="2" t="s">
        <v>13</v>
      </c>
      <c r="D619" s="3">
        <v>42.16</v>
      </c>
      <c r="E619" s="3">
        <v>28.44</v>
      </c>
      <c r="F619" s="3">
        <v>23.8</v>
      </c>
      <c r="G619" s="3">
        <v>71.569999999999993</v>
      </c>
      <c r="H619" s="342">
        <v>0</v>
      </c>
      <c r="I619" s="335"/>
    </row>
    <row r="620" spans="1:9" x14ac:dyDescent="0.25">
      <c r="A620" s="341" t="s">
        <v>987</v>
      </c>
      <c r="B620" s="335"/>
      <c r="C620" s="2" t="s">
        <v>577</v>
      </c>
      <c r="D620" s="3">
        <v>202.88</v>
      </c>
      <c r="E620" s="3">
        <v>79.47</v>
      </c>
      <c r="F620" s="3">
        <v>230.56</v>
      </c>
      <c r="G620" s="3">
        <v>248.2</v>
      </c>
      <c r="H620" s="342">
        <v>0</v>
      </c>
      <c r="I620" s="335"/>
    </row>
    <row r="621" spans="1:9" x14ac:dyDescent="0.25">
      <c r="A621" s="341" t="s">
        <v>988</v>
      </c>
      <c r="B621" s="335"/>
      <c r="C621" s="2" t="s">
        <v>579</v>
      </c>
      <c r="D621" s="3">
        <v>1091.99</v>
      </c>
      <c r="E621" s="3">
        <v>454.4</v>
      </c>
      <c r="F621" s="3">
        <v>1375.03</v>
      </c>
      <c r="G621" s="3">
        <v>1593.32</v>
      </c>
      <c r="H621" s="342">
        <v>0</v>
      </c>
      <c r="I621" s="335"/>
    </row>
    <row r="622" spans="1:9" x14ac:dyDescent="0.25">
      <c r="A622" s="341" t="s">
        <v>989</v>
      </c>
      <c r="B622" s="335"/>
      <c r="C622" s="2" t="s">
        <v>581</v>
      </c>
      <c r="D622" s="3">
        <v>590.21</v>
      </c>
      <c r="E622" s="3">
        <v>239.03</v>
      </c>
      <c r="F622" s="3">
        <v>733.12</v>
      </c>
      <c r="G622" s="3">
        <v>1061.72</v>
      </c>
      <c r="H622" s="342">
        <v>0</v>
      </c>
      <c r="I622" s="335"/>
    </row>
    <row r="623" spans="1:9" x14ac:dyDescent="0.25">
      <c r="A623" s="341" t="s">
        <v>990</v>
      </c>
      <c r="B623" s="335"/>
      <c r="C623" s="2" t="s">
        <v>973</v>
      </c>
      <c r="D623" s="3">
        <v>105.13</v>
      </c>
      <c r="E623" s="3">
        <v>36.81</v>
      </c>
      <c r="F623" s="3">
        <v>87.79</v>
      </c>
      <c r="G623" s="3">
        <v>20.43</v>
      </c>
      <c r="H623" s="342">
        <v>0</v>
      </c>
      <c r="I623" s="335"/>
    </row>
    <row r="624" spans="1:9" x14ac:dyDescent="0.25">
      <c r="A624" s="341" t="s">
        <v>991</v>
      </c>
      <c r="B624" s="335"/>
      <c r="C624" s="2" t="s">
        <v>585</v>
      </c>
      <c r="D624" s="3">
        <v>405</v>
      </c>
      <c r="E624" s="3">
        <v>165</v>
      </c>
      <c r="F624" s="3">
        <v>675</v>
      </c>
      <c r="G624" s="3">
        <v>720</v>
      </c>
      <c r="H624" s="342">
        <v>0</v>
      </c>
      <c r="I624" s="335"/>
    </row>
    <row r="625" spans="1:9" x14ac:dyDescent="0.25">
      <c r="A625" s="341" t="s">
        <v>992</v>
      </c>
      <c r="B625" s="335"/>
      <c r="C625" s="2" t="s">
        <v>39</v>
      </c>
      <c r="D625" s="3">
        <v>9052.36</v>
      </c>
      <c r="E625" s="3">
        <v>9286.98</v>
      </c>
      <c r="F625" s="3">
        <v>8730.52</v>
      </c>
      <c r="G625" s="3">
        <v>8969.19</v>
      </c>
      <c r="H625" s="342">
        <v>0</v>
      </c>
      <c r="I625" s="335"/>
    </row>
    <row r="626" spans="1:9" x14ac:dyDescent="0.25">
      <c r="A626" s="341" t="s">
        <v>993</v>
      </c>
      <c r="B626" s="335"/>
      <c r="C626" s="2" t="s">
        <v>64</v>
      </c>
      <c r="D626" s="3">
        <v>15</v>
      </c>
      <c r="E626" s="3">
        <v>0</v>
      </c>
      <c r="F626" s="3">
        <v>0</v>
      </c>
      <c r="G626" s="3">
        <v>0</v>
      </c>
      <c r="H626" s="342">
        <v>0</v>
      </c>
      <c r="I626" s="335"/>
    </row>
    <row r="627" spans="1:9" x14ac:dyDescent="0.25">
      <c r="A627" s="341" t="s">
        <v>996</v>
      </c>
      <c r="B627" s="335"/>
      <c r="C627" s="2" t="s">
        <v>108</v>
      </c>
      <c r="D627" s="3">
        <v>23530.57</v>
      </c>
      <c r="E627" s="3">
        <v>26358.78</v>
      </c>
      <c r="F627" s="3">
        <v>36561.97</v>
      </c>
      <c r="G627" s="3">
        <v>21966.85</v>
      </c>
      <c r="H627" s="342">
        <v>0</v>
      </c>
      <c r="I627" s="335"/>
    </row>
    <row r="628" spans="1:9" x14ac:dyDescent="0.25">
      <c r="A628" s="341" t="s">
        <v>997</v>
      </c>
      <c r="B628" s="335"/>
      <c r="C628" s="2" t="s">
        <v>29</v>
      </c>
      <c r="D628" s="3">
        <v>8143.9</v>
      </c>
      <c r="E628" s="3">
        <v>8990.4699999999993</v>
      </c>
      <c r="F628" s="3">
        <v>12378.3</v>
      </c>
      <c r="G628" s="3">
        <v>7274.38</v>
      </c>
      <c r="H628" s="342">
        <v>0</v>
      </c>
      <c r="I628" s="335"/>
    </row>
    <row r="629" spans="1:9" x14ac:dyDescent="0.25">
      <c r="A629" s="341" t="s">
        <v>998</v>
      </c>
      <c r="B629" s="335"/>
      <c r="C629" s="2" t="s">
        <v>128</v>
      </c>
      <c r="D629" s="3">
        <v>568.80999999999995</v>
      </c>
      <c r="E629" s="3">
        <v>525.66</v>
      </c>
      <c r="F629" s="3">
        <v>746.34</v>
      </c>
      <c r="G629" s="3">
        <v>355.7</v>
      </c>
      <c r="H629" s="342">
        <v>0</v>
      </c>
      <c r="I629" s="335"/>
    </row>
    <row r="630" spans="1:9" x14ac:dyDescent="0.25">
      <c r="A630" s="341" t="s">
        <v>999</v>
      </c>
      <c r="B630" s="335"/>
      <c r="C630" s="2" t="s">
        <v>33</v>
      </c>
      <c r="D630" s="3">
        <v>3152.05</v>
      </c>
      <c r="E630" s="3">
        <v>3455.95</v>
      </c>
      <c r="F630" s="3">
        <v>4288.28</v>
      </c>
      <c r="G630" s="3">
        <v>2299.6999999999998</v>
      </c>
      <c r="H630" s="342">
        <v>0</v>
      </c>
      <c r="I630" s="335"/>
    </row>
    <row r="631" spans="1:9" x14ac:dyDescent="0.25">
      <c r="A631" s="341" t="s">
        <v>1000</v>
      </c>
      <c r="B631" s="335"/>
      <c r="C631" s="2" t="s">
        <v>11</v>
      </c>
      <c r="D631" s="3">
        <v>1769.85</v>
      </c>
      <c r="E631" s="3">
        <v>1978.94</v>
      </c>
      <c r="F631" s="3">
        <v>2745.02</v>
      </c>
      <c r="G631" s="3">
        <v>1648.05</v>
      </c>
      <c r="H631" s="342">
        <v>0</v>
      </c>
      <c r="I631" s="335"/>
    </row>
    <row r="632" spans="1:9" x14ac:dyDescent="0.25">
      <c r="A632" s="341" t="s">
        <v>1001</v>
      </c>
      <c r="B632" s="335"/>
      <c r="C632" s="2" t="s">
        <v>13</v>
      </c>
      <c r="D632" s="3">
        <v>34.520000000000003</v>
      </c>
      <c r="E632" s="3">
        <v>38.64</v>
      </c>
      <c r="F632" s="3">
        <v>53.6</v>
      </c>
      <c r="G632" s="3">
        <v>46.22</v>
      </c>
      <c r="H632" s="342">
        <v>0</v>
      </c>
      <c r="I632" s="335"/>
    </row>
    <row r="633" spans="1:9" x14ac:dyDescent="0.25">
      <c r="A633" s="341" t="s">
        <v>1002</v>
      </c>
      <c r="B633" s="335"/>
      <c r="C633" s="2" t="s">
        <v>973</v>
      </c>
      <c r="D633" s="3">
        <v>61.71</v>
      </c>
      <c r="E633" s="3">
        <v>70.92</v>
      </c>
      <c r="F633" s="3">
        <v>98.34</v>
      </c>
      <c r="G633" s="3">
        <v>33.57</v>
      </c>
      <c r="H633" s="342">
        <v>0</v>
      </c>
      <c r="I633" s="335"/>
    </row>
    <row r="634" spans="1:9" x14ac:dyDescent="0.25">
      <c r="A634" s="341" t="s">
        <v>1003</v>
      </c>
      <c r="B634" s="335"/>
      <c r="C634" s="2" t="s">
        <v>39</v>
      </c>
      <c r="D634" s="3">
        <v>0</v>
      </c>
      <c r="E634" s="3">
        <v>0</v>
      </c>
      <c r="F634" s="3">
        <v>0</v>
      </c>
      <c r="G634" s="3">
        <v>467.82</v>
      </c>
      <c r="H634" s="342">
        <v>0</v>
      </c>
      <c r="I634" s="335"/>
    </row>
    <row r="635" spans="1:9" x14ac:dyDescent="0.25">
      <c r="A635" s="341" t="s">
        <v>1004</v>
      </c>
      <c r="B635" s="335"/>
      <c r="C635" s="2" t="s">
        <v>64</v>
      </c>
      <c r="D635" s="3">
        <v>0</v>
      </c>
      <c r="E635" s="3">
        <v>0</v>
      </c>
      <c r="F635" s="3">
        <v>0</v>
      </c>
      <c r="G635" s="3">
        <v>0</v>
      </c>
      <c r="H635" s="342">
        <v>0</v>
      </c>
      <c r="I635" s="335"/>
    </row>
    <row r="636" spans="1:9" x14ac:dyDescent="0.25">
      <c r="A636" s="341" t="s">
        <v>3257</v>
      </c>
      <c r="B636" s="335"/>
      <c r="C636" s="2" t="s">
        <v>3256</v>
      </c>
      <c r="D636" s="3">
        <v>110000</v>
      </c>
      <c r="E636" s="3">
        <v>0</v>
      </c>
      <c r="F636" s="3">
        <v>0</v>
      </c>
      <c r="G636" s="3">
        <v>0</v>
      </c>
      <c r="H636" s="342">
        <v>0</v>
      </c>
      <c r="I636" s="335"/>
    </row>
    <row r="637" spans="1:9" x14ac:dyDescent="0.25">
      <c r="A637" s="341" t="s">
        <v>1006</v>
      </c>
      <c r="B637" s="335"/>
      <c r="C637" s="2" t="s">
        <v>1007</v>
      </c>
      <c r="D637" s="3">
        <v>0</v>
      </c>
      <c r="E637" s="3">
        <v>9194.76</v>
      </c>
      <c r="F637" s="3">
        <v>0</v>
      </c>
      <c r="G637" s="3">
        <v>0</v>
      </c>
      <c r="H637" s="342">
        <v>0</v>
      </c>
      <c r="I637" s="335"/>
    </row>
    <row r="638" spans="1:9" ht="24" x14ac:dyDescent="0.25">
      <c r="A638" s="341" t="s">
        <v>1008</v>
      </c>
      <c r="B638" s="335"/>
      <c r="C638" s="2" t="s">
        <v>1009</v>
      </c>
      <c r="D638" s="3">
        <v>0</v>
      </c>
      <c r="E638" s="3">
        <v>23875.74</v>
      </c>
      <c r="F638" s="3">
        <v>23850.639999999999</v>
      </c>
      <c r="G638" s="3">
        <v>0</v>
      </c>
      <c r="H638" s="342">
        <v>0</v>
      </c>
      <c r="I638" s="335"/>
    </row>
    <row r="639" spans="1:9" ht="24" x14ac:dyDescent="0.25">
      <c r="A639" s="341" t="s">
        <v>1010</v>
      </c>
      <c r="B639" s="335"/>
      <c r="C639" s="2" t="s">
        <v>1011</v>
      </c>
      <c r="D639" s="3">
        <v>0</v>
      </c>
      <c r="E639" s="3">
        <v>21250</v>
      </c>
      <c r="F639" s="3">
        <v>0</v>
      </c>
      <c r="G639" s="3">
        <v>0</v>
      </c>
      <c r="H639" s="342">
        <v>0</v>
      </c>
      <c r="I639" s="335"/>
    </row>
    <row r="640" spans="1:9" x14ac:dyDescent="0.25">
      <c r="A640" s="341" t="s">
        <v>1012</v>
      </c>
      <c r="B640" s="335"/>
      <c r="C640" s="2" t="s">
        <v>1013</v>
      </c>
      <c r="D640" s="3">
        <v>0</v>
      </c>
      <c r="E640" s="3">
        <v>0</v>
      </c>
      <c r="F640" s="3">
        <v>17643.03</v>
      </c>
      <c r="G640" s="3">
        <v>0</v>
      </c>
      <c r="H640" s="342">
        <v>0</v>
      </c>
      <c r="I640" s="335"/>
    </row>
    <row r="641" spans="1:9" x14ac:dyDescent="0.25">
      <c r="A641" s="341" t="s">
        <v>1014</v>
      </c>
      <c r="B641" s="335"/>
      <c r="C641" s="2" t="s">
        <v>1015</v>
      </c>
      <c r="D641" s="3">
        <v>0</v>
      </c>
      <c r="E641" s="3">
        <v>0</v>
      </c>
      <c r="F641" s="3">
        <v>8581.11</v>
      </c>
      <c r="G641" s="3">
        <v>0</v>
      </c>
      <c r="H641" s="342">
        <v>0</v>
      </c>
      <c r="I641" s="335"/>
    </row>
    <row r="642" spans="1:9" x14ac:dyDescent="0.25">
      <c r="A642" s="341" t="s">
        <v>1016</v>
      </c>
      <c r="B642" s="335"/>
      <c r="C642" s="2" t="s">
        <v>1017</v>
      </c>
      <c r="D642" s="3">
        <v>0</v>
      </c>
      <c r="E642" s="3">
        <v>0</v>
      </c>
      <c r="F642" s="3">
        <v>0</v>
      </c>
      <c r="G642" s="3">
        <v>0</v>
      </c>
      <c r="H642" s="342">
        <v>0</v>
      </c>
      <c r="I642" s="335"/>
    </row>
    <row r="643" spans="1:9" x14ac:dyDescent="0.25">
      <c r="A643" s="341" t="s">
        <v>1018</v>
      </c>
      <c r="B643" s="335"/>
      <c r="C643" s="2" t="s">
        <v>1019</v>
      </c>
      <c r="D643" s="3">
        <v>0</v>
      </c>
      <c r="E643" s="3">
        <v>0</v>
      </c>
      <c r="F643" s="3">
        <v>39114.050000000003</v>
      </c>
      <c r="G643" s="3">
        <v>0</v>
      </c>
      <c r="H643" s="342">
        <v>0</v>
      </c>
      <c r="I643" s="335"/>
    </row>
    <row r="644" spans="1:9" x14ac:dyDescent="0.25">
      <c r="A644" s="341" t="s">
        <v>1020</v>
      </c>
      <c r="B644" s="335"/>
      <c r="C644" s="2" t="s">
        <v>1021</v>
      </c>
      <c r="D644" s="3">
        <v>0</v>
      </c>
      <c r="E644" s="3">
        <v>0</v>
      </c>
      <c r="F644" s="3">
        <v>37161.25</v>
      </c>
      <c r="G644" s="3">
        <v>0</v>
      </c>
      <c r="H644" s="342">
        <v>0</v>
      </c>
      <c r="I644" s="335"/>
    </row>
    <row r="645" spans="1:9" x14ac:dyDescent="0.25">
      <c r="A645" s="341" t="s">
        <v>1022</v>
      </c>
      <c r="B645" s="335"/>
      <c r="C645" s="2" t="s">
        <v>1023</v>
      </c>
      <c r="D645" s="3">
        <v>0</v>
      </c>
      <c r="E645" s="3">
        <v>0</v>
      </c>
      <c r="F645" s="3">
        <v>0</v>
      </c>
      <c r="G645" s="3">
        <v>0</v>
      </c>
      <c r="H645" s="342">
        <v>0</v>
      </c>
      <c r="I645" s="335"/>
    </row>
    <row r="646" spans="1:9" x14ac:dyDescent="0.25">
      <c r="A646" s="341" t="s">
        <v>1024</v>
      </c>
      <c r="B646" s="335"/>
      <c r="C646" s="2" t="s">
        <v>1025</v>
      </c>
      <c r="D646" s="3">
        <v>0</v>
      </c>
      <c r="E646" s="3">
        <v>0</v>
      </c>
      <c r="F646" s="3">
        <v>0</v>
      </c>
      <c r="G646" s="3">
        <v>0</v>
      </c>
      <c r="H646" s="342">
        <v>0</v>
      </c>
      <c r="I646" s="335"/>
    </row>
    <row r="647" spans="1:9" x14ac:dyDescent="0.25">
      <c r="A647" s="341" t="s">
        <v>1026</v>
      </c>
      <c r="B647" s="335"/>
      <c r="C647" s="2" t="s">
        <v>1027</v>
      </c>
      <c r="D647" s="3">
        <v>0</v>
      </c>
      <c r="E647" s="3">
        <v>0</v>
      </c>
      <c r="F647" s="3">
        <v>0</v>
      </c>
      <c r="G647" s="3">
        <v>0</v>
      </c>
      <c r="H647" s="342">
        <v>0</v>
      </c>
      <c r="I647" s="335"/>
    </row>
    <row r="648" spans="1:9" x14ac:dyDescent="0.25">
      <c r="A648" s="341" t="s">
        <v>1028</v>
      </c>
      <c r="B648" s="335"/>
      <c r="C648" s="2" t="s">
        <v>1029</v>
      </c>
      <c r="D648" s="3">
        <v>0</v>
      </c>
      <c r="E648" s="3">
        <v>0</v>
      </c>
      <c r="F648" s="3">
        <v>0</v>
      </c>
      <c r="G648" s="3">
        <v>0</v>
      </c>
      <c r="H648" s="342">
        <v>0</v>
      </c>
      <c r="I648" s="335"/>
    </row>
    <row r="649" spans="1:9" x14ac:dyDescent="0.25">
      <c r="A649" s="341" t="s">
        <v>1030</v>
      </c>
      <c r="B649" s="335"/>
      <c r="C649" s="2" t="s">
        <v>1031</v>
      </c>
      <c r="D649" s="3">
        <v>0</v>
      </c>
      <c r="E649" s="3">
        <v>0</v>
      </c>
      <c r="F649" s="3">
        <v>0</v>
      </c>
      <c r="G649" s="3">
        <v>0</v>
      </c>
      <c r="H649" s="342">
        <v>0</v>
      </c>
      <c r="I649" s="335"/>
    </row>
    <row r="650" spans="1:9" x14ac:dyDescent="0.25">
      <c r="A650" s="341" t="s">
        <v>1032</v>
      </c>
      <c r="B650" s="335"/>
      <c r="C650" s="2" t="s">
        <v>1033</v>
      </c>
      <c r="D650" s="3">
        <v>0</v>
      </c>
      <c r="E650" s="3">
        <v>0</v>
      </c>
      <c r="F650" s="3">
        <v>0</v>
      </c>
      <c r="G650" s="3">
        <v>0</v>
      </c>
      <c r="H650" s="342">
        <v>0</v>
      </c>
      <c r="I650" s="335"/>
    </row>
    <row r="651" spans="1:9" ht="24" x14ac:dyDescent="0.25">
      <c r="A651" s="341" t="s">
        <v>1034</v>
      </c>
      <c r="B651" s="335"/>
      <c r="C651" s="2" t="s">
        <v>1035</v>
      </c>
      <c r="D651" s="3">
        <v>0</v>
      </c>
      <c r="E651" s="3">
        <v>0</v>
      </c>
      <c r="F651" s="3">
        <v>0</v>
      </c>
      <c r="G651" s="3">
        <v>0</v>
      </c>
      <c r="H651" s="342">
        <v>0</v>
      </c>
      <c r="I651" s="335"/>
    </row>
    <row r="652" spans="1:9" x14ac:dyDescent="0.25">
      <c r="A652" s="341" t="s">
        <v>1036</v>
      </c>
      <c r="B652" s="335"/>
      <c r="C652" s="2" t="s">
        <v>1037</v>
      </c>
      <c r="D652" s="3">
        <v>0</v>
      </c>
      <c r="E652" s="3">
        <v>0</v>
      </c>
      <c r="F652" s="3">
        <v>0</v>
      </c>
      <c r="G652" s="3">
        <v>0</v>
      </c>
      <c r="H652" s="342">
        <v>0</v>
      </c>
      <c r="I652" s="335"/>
    </row>
    <row r="653" spans="1:9" x14ac:dyDescent="0.25">
      <c r="A653" s="340" t="s">
        <v>1038</v>
      </c>
      <c r="B653" s="335"/>
      <c r="C653" s="1" t="s">
        <v>2</v>
      </c>
      <c r="D653" s="4">
        <v>1401384.94</v>
      </c>
      <c r="E653" s="4">
        <v>1263529.6000000001</v>
      </c>
      <c r="F653" s="4">
        <v>1531871.22</v>
      </c>
      <c r="G653" s="4">
        <v>1165060.23</v>
      </c>
      <c r="H653" s="343">
        <v>0</v>
      </c>
      <c r="I653" s="335"/>
    </row>
    <row r="654" spans="1:9" x14ac:dyDescent="0.25">
      <c r="A654" s="340" t="s">
        <v>2</v>
      </c>
      <c r="B654" s="335"/>
      <c r="C654" s="1" t="s">
        <v>2</v>
      </c>
      <c r="D654" s="1" t="s">
        <v>2</v>
      </c>
      <c r="E654" s="1" t="s">
        <v>2</v>
      </c>
      <c r="F654" s="1" t="s">
        <v>2</v>
      </c>
      <c r="G654" s="1" t="s">
        <v>2</v>
      </c>
      <c r="H654" s="340" t="s">
        <v>2</v>
      </c>
      <c r="I654" s="335"/>
    </row>
    <row r="655" spans="1:9" x14ac:dyDescent="0.25">
      <c r="A655" s="340" t="s">
        <v>1039</v>
      </c>
      <c r="B655" s="335"/>
      <c r="C655" s="1" t="s">
        <v>2</v>
      </c>
    </row>
    <row r="656" spans="1:9" x14ac:dyDescent="0.25">
      <c r="A656" s="341" t="s">
        <v>1040</v>
      </c>
      <c r="B656" s="335"/>
      <c r="C656" s="2" t="s">
        <v>1041</v>
      </c>
      <c r="D656" s="3">
        <v>115000</v>
      </c>
      <c r="E656" s="3">
        <v>0</v>
      </c>
      <c r="F656" s="3">
        <v>91813.5</v>
      </c>
      <c r="G656" s="3">
        <v>0</v>
      </c>
      <c r="H656" s="342">
        <v>0</v>
      </c>
      <c r="I656" s="335"/>
    </row>
    <row r="657" spans="1:9" x14ac:dyDescent="0.25">
      <c r="A657" s="341" t="s">
        <v>1042</v>
      </c>
      <c r="B657" s="335"/>
      <c r="C657" s="2" t="s">
        <v>1043</v>
      </c>
      <c r="D657" s="3">
        <v>70272</v>
      </c>
      <c r="E657" s="3">
        <v>70272</v>
      </c>
      <c r="F657" s="3">
        <v>70272</v>
      </c>
      <c r="G657" s="3">
        <v>0</v>
      </c>
      <c r="H657" s="342">
        <v>0</v>
      </c>
      <c r="I657" s="335"/>
    </row>
    <row r="658" spans="1:9" ht="24" x14ac:dyDescent="0.25">
      <c r="A658" s="341" t="s">
        <v>1044</v>
      </c>
      <c r="B658" s="335"/>
      <c r="C658" s="2" t="s">
        <v>1045</v>
      </c>
      <c r="D658" s="3">
        <v>29373.79</v>
      </c>
      <c r="E658" s="3">
        <v>28343.73</v>
      </c>
      <c r="F658" s="3">
        <v>23811.599999999999</v>
      </c>
      <c r="G658" s="3">
        <v>1568.21</v>
      </c>
      <c r="H658" s="342">
        <v>0</v>
      </c>
      <c r="I658" s="335"/>
    </row>
    <row r="659" spans="1:9" x14ac:dyDescent="0.25">
      <c r="A659" s="341" t="s">
        <v>1046</v>
      </c>
      <c r="B659" s="335"/>
      <c r="C659" s="2" t="s">
        <v>1047</v>
      </c>
      <c r="D659" s="3">
        <v>0</v>
      </c>
      <c r="E659" s="3">
        <v>0</v>
      </c>
      <c r="F659" s="3">
        <v>0</v>
      </c>
      <c r="G659" s="3">
        <v>89946.33</v>
      </c>
      <c r="H659" s="342">
        <v>0</v>
      </c>
      <c r="I659" s="335"/>
    </row>
    <row r="660" spans="1:9" x14ac:dyDescent="0.25">
      <c r="A660" s="340" t="s">
        <v>1048</v>
      </c>
      <c r="B660" s="335"/>
      <c r="C660" s="1" t="s">
        <v>2</v>
      </c>
      <c r="D660" s="4">
        <v>214645.79</v>
      </c>
      <c r="E660" s="4">
        <v>98615.73</v>
      </c>
      <c r="F660" s="4">
        <v>185897.1</v>
      </c>
      <c r="G660" s="4">
        <v>91514.54</v>
      </c>
      <c r="H660" s="343">
        <v>0</v>
      </c>
      <c r="I660" s="335"/>
    </row>
    <row r="661" spans="1:9" x14ac:dyDescent="0.25">
      <c r="A661" s="340" t="s">
        <v>2</v>
      </c>
      <c r="B661" s="335"/>
      <c r="C661" s="1" t="s">
        <v>2</v>
      </c>
      <c r="D661" s="1" t="s">
        <v>2</v>
      </c>
      <c r="E661" s="1" t="s">
        <v>2</v>
      </c>
      <c r="F661" s="1" t="s">
        <v>2</v>
      </c>
      <c r="G661" s="1" t="s">
        <v>2</v>
      </c>
      <c r="H661" s="340" t="s">
        <v>2</v>
      </c>
      <c r="I661" s="335"/>
    </row>
    <row r="662" spans="1:9" x14ac:dyDescent="0.25">
      <c r="A662" s="340" t="s">
        <v>1049</v>
      </c>
      <c r="B662" s="335"/>
      <c r="C662" s="1" t="s">
        <v>2</v>
      </c>
    </row>
    <row r="663" spans="1:9" x14ac:dyDescent="0.25">
      <c r="A663" s="341" t="s">
        <v>1050</v>
      </c>
      <c r="B663" s="335"/>
      <c r="C663" s="2" t="s">
        <v>1051</v>
      </c>
      <c r="D663" s="3">
        <v>0</v>
      </c>
      <c r="E663" s="3">
        <v>795000</v>
      </c>
      <c r="F663" s="3">
        <v>0</v>
      </c>
      <c r="G663" s="3">
        <v>0</v>
      </c>
      <c r="H663" s="342">
        <v>0</v>
      </c>
      <c r="I663" s="335"/>
    </row>
    <row r="664" spans="1:9" x14ac:dyDescent="0.25">
      <c r="A664" s="341" t="s">
        <v>1052</v>
      </c>
      <c r="B664" s="335"/>
      <c r="C664" s="2" t="s">
        <v>1053</v>
      </c>
      <c r="D664" s="3">
        <v>0</v>
      </c>
      <c r="E664" s="3">
        <v>0</v>
      </c>
      <c r="F664" s="3">
        <v>0</v>
      </c>
      <c r="G664" s="3">
        <v>0</v>
      </c>
      <c r="H664" s="342">
        <v>0</v>
      </c>
      <c r="I664" s="335"/>
    </row>
    <row r="665" spans="1:9" x14ac:dyDescent="0.25">
      <c r="A665" s="341" t="s">
        <v>1054</v>
      </c>
      <c r="B665" s="335"/>
      <c r="C665" s="2" t="s">
        <v>1055</v>
      </c>
      <c r="D665" s="3">
        <v>0</v>
      </c>
      <c r="E665" s="3">
        <v>4326</v>
      </c>
      <c r="F665" s="3">
        <v>6838.6</v>
      </c>
      <c r="G665" s="3">
        <v>18215.52</v>
      </c>
      <c r="H665" s="342">
        <v>0</v>
      </c>
      <c r="I665" s="335"/>
    </row>
    <row r="666" spans="1:9" ht="24" x14ac:dyDescent="0.25">
      <c r="A666" s="341" t="s">
        <v>1056</v>
      </c>
      <c r="B666" s="335"/>
      <c r="C666" s="2" t="s">
        <v>1057</v>
      </c>
      <c r="D666" s="3">
        <v>0</v>
      </c>
      <c r="E666" s="3">
        <v>0</v>
      </c>
      <c r="F666" s="3">
        <v>0</v>
      </c>
      <c r="G666" s="3">
        <v>0</v>
      </c>
      <c r="H666" s="342">
        <v>0</v>
      </c>
      <c r="I666" s="335"/>
    </row>
    <row r="667" spans="1:9" x14ac:dyDescent="0.25">
      <c r="A667" s="341" t="s">
        <v>1058</v>
      </c>
      <c r="B667" s="335"/>
      <c r="C667" s="2" t="s">
        <v>1059</v>
      </c>
      <c r="D667" s="3">
        <v>0</v>
      </c>
      <c r="E667" s="3">
        <v>0</v>
      </c>
      <c r="F667" s="3">
        <v>212959.25</v>
      </c>
      <c r="G667" s="3">
        <v>127065.67</v>
      </c>
      <c r="H667" s="342">
        <v>0</v>
      </c>
      <c r="I667" s="335"/>
    </row>
    <row r="668" spans="1:9" x14ac:dyDescent="0.25">
      <c r="A668" s="340" t="s">
        <v>1060</v>
      </c>
      <c r="B668" s="335"/>
      <c r="C668" s="1" t="s">
        <v>2</v>
      </c>
      <c r="D668" s="4">
        <v>0</v>
      </c>
      <c r="E668" s="4">
        <v>799326</v>
      </c>
      <c r="F668" s="4">
        <v>219797.85</v>
      </c>
      <c r="G668" s="49">
        <v>145281.19</v>
      </c>
      <c r="H668" s="343">
        <v>0</v>
      </c>
      <c r="I668" s="335"/>
    </row>
    <row r="669" spans="1:9" x14ac:dyDescent="0.25">
      <c r="A669" s="340" t="s">
        <v>2</v>
      </c>
      <c r="B669" s="335"/>
      <c r="C669" s="1" t="s">
        <v>2</v>
      </c>
      <c r="D669" s="1" t="s">
        <v>2</v>
      </c>
      <c r="E669" s="1" t="s">
        <v>2</v>
      </c>
      <c r="F669" s="1" t="s">
        <v>2</v>
      </c>
      <c r="G669" s="1" t="s">
        <v>2</v>
      </c>
      <c r="H669" s="340" t="s">
        <v>2</v>
      </c>
      <c r="I669" s="335"/>
    </row>
    <row r="670" spans="1:9" x14ac:dyDescent="0.25">
      <c r="A670" s="340" t="s">
        <v>1061</v>
      </c>
      <c r="B670" s="335"/>
      <c r="C670" s="1" t="s">
        <v>2</v>
      </c>
    </row>
    <row r="671" spans="1:9" x14ac:dyDescent="0.25">
      <c r="A671" s="340" t="s">
        <v>3224</v>
      </c>
      <c r="B671" s="335"/>
      <c r="C671" s="1" t="s">
        <v>2</v>
      </c>
    </row>
    <row r="672" spans="1:9" x14ac:dyDescent="0.25">
      <c r="A672" s="341" t="s">
        <v>1062</v>
      </c>
      <c r="B672" s="335"/>
      <c r="C672" s="2" t="s">
        <v>742</v>
      </c>
      <c r="D672" s="3">
        <v>15000</v>
      </c>
      <c r="E672" s="3">
        <v>17000</v>
      </c>
      <c r="F672" s="3">
        <v>25000</v>
      </c>
      <c r="G672" s="3">
        <v>0</v>
      </c>
      <c r="H672" s="342">
        <v>0</v>
      </c>
      <c r="I672" s="335"/>
    </row>
    <row r="673" spans="1:9" x14ac:dyDescent="0.25">
      <c r="A673" s="340" t="s">
        <v>3223</v>
      </c>
      <c r="B673" s="335"/>
      <c r="C673" s="1" t="s">
        <v>2</v>
      </c>
      <c r="D673" s="4">
        <v>15000</v>
      </c>
      <c r="E673" s="4">
        <v>17000</v>
      </c>
      <c r="F673" s="4">
        <v>25000</v>
      </c>
      <c r="G673" s="4">
        <v>0</v>
      </c>
      <c r="H673" s="343">
        <v>0</v>
      </c>
      <c r="I673" s="335"/>
    </row>
    <row r="674" spans="1:9" x14ac:dyDescent="0.25">
      <c r="A674" s="340" t="s">
        <v>2</v>
      </c>
      <c r="B674" s="335"/>
      <c r="C674" s="1" t="s">
        <v>2</v>
      </c>
      <c r="D674" s="1" t="s">
        <v>2</v>
      </c>
      <c r="E674" s="1" t="s">
        <v>2</v>
      </c>
      <c r="F674" s="1" t="s">
        <v>2</v>
      </c>
      <c r="G674" s="1" t="s">
        <v>2</v>
      </c>
      <c r="H674" s="340" t="s">
        <v>2</v>
      </c>
      <c r="I674" s="335"/>
    </row>
    <row r="675" spans="1:9" x14ac:dyDescent="0.25">
      <c r="A675" s="340" t="s">
        <v>1063</v>
      </c>
      <c r="B675" s="335"/>
      <c r="C675" s="1" t="s">
        <v>2</v>
      </c>
      <c r="D675" s="4">
        <v>15000</v>
      </c>
      <c r="E675" s="4">
        <v>17000</v>
      </c>
      <c r="F675" s="4">
        <v>25000</v>
      </c>
      <c r="G675" s="49">
        <v>0</v>
      </c>
      <c r="H675" s="343">
        <v>0</v>
      </c>
      <c r="I675" s="335"/>
    </row>
    <row r="676" spans="1:9" x14ac:dyDescent="0.25">
      <c r="A676" s="340" t="s">
        <v>2</v>
      </c>
      <c r="B676" s="335"/>
      <c r="C676" s="1" t="s">
        <v>2</v>
      </c>
      <c r="D676" s="1" t="s">
        <v>2</v>
      </c>
      <c r="E676" s="1" t="s">
        <v>2</v>
      </c>
      <c r="F676" s="1" t="s">
        <v>2</v>
      </c>
      <c r="G676" s="1" t="s">
        <v>2</v>
      </c>
      <c r="H676" s="340" t="s">
        <v>2</v>
      </c>
      <c r="I676" s="335"/>
    </row>
    <row r="677" spans="1:9" x14ac:dyDescent="0.25">
      <c r="A677" s="340" t="s">
        <v>1064</v>
      </c>
      <c r="B677" s="335"/>
      <c r="C677" s="1" t="s">
        <v>2</v>
      </c>
    </row>
    <row r="678" spans="1:9" x14ac:dyDescent="0.25">
      <c r="A678" s="341" t="s">
        <v>1065</v>
      </c>
      <c r="B678" s="335"/>
      <c r="C678" s="2" t="s">
        <v>1066</v>
      </c>
      <c r="D678" s="3">
        <v>250000</v>
      </c>
      <c r="E678" s="3">
        <v>260000</v>
      </c>
      <c r="F678" s="3">
        <v>270000</v>
      </c>
      <c r="G678" s="3">
        <v>0</v>
      </c>
      <c r="H678" s="342">
        <v>0</v>
      </c>
      <c r="I678" s="335"/>
    </row>
    <row r="679" spans="1:9" x14ac:dyDescent="0.25">
      <c r="A679" s="340" t="s">
        <v>1067</v>
      </c>
      <c r="B679" s="335"/>
      <c r="C679" s="1" t="s">
        <v>2</v>
      </c>
      <c r="D679" s="4">
        <v>250000</v>
      </c>
      <c r="E679" s="4">
        <v>260000</v>
      </c>
      <c r="F679" s="4">
        <v>270000</v>
      </c>
      <c r="G679" s="49">
        <v>0</v>
      </c>
      <c r="H679" s="343">
        <v>0</v>
      </c>
      <c r="I679" s="335"/>
    </row>
    <row r="680" spans="1:9" x14ac:dyDescent="0.25">
      <c r="A680" s="340" t="s">
        <v>2</v>
      </c>
      <c r="B680" s="335"/>
      <c r="C680" s="1" t="s">
        <v>2</v>
      </c>
      <c r="D680" s="1" t="s">
        <v>2</v>
      </c>
      <c r="E680" s="1" t="s">
        <v>2</v>
      </c>
      <c r="F680" s="1" t="s">
        <v>2</v>
      </c>
      <c r="G680" s="1" t="s">
        <v>2</v>
      </c>
      <c r="H680" s="340" t="s">
        <v>2</v>
      </c>
      <c r="I680" s="335"/>
    </row>
    <row r="681" spans="1:9" x14ac:dyDescent="0.25">
      <c r="A681" s="340" t="s">
        <v>1068</v>
      </c>
      <c r="B681" s="335"/>
      <c r="C681" s="1" t="s">
        <v>2</v>
      </c>
    </row>
    <row r="682" spans="1:9" x14ac:dyDescent="0.25">
      <c r="A682" s="341" t="s">
        <v>1069</v>
      </c>
      <c r="B682" s="335"/>
      <c r="C682" s="2" t="s">
        <v>1070</v>
      </c>
      <c r="D682" s="3">
        <v>0</v>
      </c>
      <c r="E682" s="3">
        <v>47000</v>
      </c>
      <c r="F682" s="3">
        <v>0</v>
      </c>
      <c r="G682" s="3">
        <v>0</v>
      </c>
      <c r="H682" s="342">
        <v>0</v>
      </c>
      <c r="I682" s="335"/>
    </row>
    <row r="683" spans="1:9" x14ac:dyDescent="0.25">
      <c r="A683" s="341" t="s">
        <v>1071</v>
      </c>
      <c r="B683" s="335"/>
      <c r="C683" s="2" t="s">
        <v>1072</v>
      </c>
      <c r="D683" s="3">
        <v>200000</v>
      </c>
      <c r="E683" s="3">
        <v>34630.550000000003</v>
      </c>
      <c r="F683" s="3">
        <v>0</v>
      </c>
      <c r="G683" s="3">
        <v>0</v>
      </c>
      <c r="H683" s="342">
        <v>0</v>
      </c>
      <c r="I683" s="335"/>
    </row>
    <row r="684" spans="1:9" ht="24" x14ac:dyDescent="0.25">
      <c r="A684" s="341" t="s">
        <v>1073</v>
      </c>
      <c r="B684" s="335"/>
      <c r="C684" s="2" t="s">
        <v>1074</v>
      </c>
      <c r="D684" s="3">
        <v>0</v>
      </c>
      <c r="E684" s="3">
        <v>0</v>
      </c>
      <c r="F684" s="3">
        <v>0</v>
      </c>
      <c r="G684" s="3">
        <v>0</v>
      </c>
      <c r="H684" s="342">
        <v>0</v>
      </c>
      <c r="I684" s="335"/>
    </row>
    <row r="685" spans="1:9" ht="24" x14ac:dyDescent="0.25">
      <c r="A685" s="341" t="s">
        <v>1075</v>
      </c>
      <c r="B685" s="335"/>
      <c r="C685" s="2" t="s">
        <v>1076</v>
      </c>
      <c r="D685" s="3">
        <v>0</v>
      </c>
      <c r="E685" s="3">
        <v>0</v>
      </c>
      <c r="F685" s="3">
        <v>0</v>
      </c>
      <c r="G685" s="3">
        <v>0</v>
      </c>
      <c r="H685" s="342">
        <v>0</v>
      </c>
      <c r="I685" s="335"/>
    </row>
    <row r="686" spans="1:9" x14ac:dyDescent="0.25">
      <c r="A686" s="340" t="s">
        <v>1077</v>
      </c>
      <c r="B686" s="335"/>
      <c r="C686" s="1" t="s">
        <v>2</v>
      </c>
      <c r="D686" s="4">
        <v>200000</v>
      </c>
      <c r="E686" s="4">
        <v>81630.55</v>
      </c>
      <c r="F686" s="4">
        <v>0</v>
      </c>
      <c r="G686" s="49">
        <v>0</v>
      </c>
      <c r="H686" s="343">
        <v>0</v>
      </c>
      <c r="I686" s="335"/>
    </row>
    <row r="687" spans="1:9" x14ac:dyDescent="0.25">
      <c r="A687" s="340" t="s">
        <v>2</v>
      </c>
      <c r="B687" s="335"/>
      <c r="C687" s="1" t="s">
        <v>2</v>
      </c>
      <c r="D687" s="1" t="s">
        <v>2</v>
      </c>
      <c r="E687" s="1" t="s">
        <v>2</v>
      </c>
      <c r="F687" s="1" t="s">
        <v>2</v>
      </c>
      <c r="G687" s="1" t="s">
        <v>2</v>
      </c>
      <c r="H687" s="340" t="s">
        <v>2</v>
      </c>
      <c r="I687" s="335"/>
    </row>
    <row r="688" spans="1:9" x14ac:dyDescent="0.25">
      <c r="A688" s="340" t="s">
        <v>1078</v>
      </c>
      <c r="B688" s="335"/>
      <c r="C688" s="1" t="s">
        <v>2</v>
      </c>
    </row>
    <row r="689" spans="1:9" x14ac:dyDescent="0.25">
      <c r="A689" s="341" t="s">
        <v>1079</v>
      </c>
      <c r="B689" s="335"/>
      <c r="C689" s="2" t="s">
        <v>1080</v>
      </c>
      <c r="D689" s="3">
        <v>183.15</v>
      </c>
      <c r="E689" s="3">
        <v>56147.41</v>
      </c>
      <c r="F689" s="3">
        <v>0</v>
      </c>
      <c r="G689" s="3">
        <v>0</v>
      </c>
      <c r="H689" s="342">
        <v>0</v>
      </c>
      <c r="I689" s="335"/>
    </row>
    <row r="690" spans="1:9" x14ac:dyDescent="0.25">
      <c r="A690" s="341" t="s">
        <v>1081</v>
      </c>
      <c r="B690" s="335"/>
      <c r="C690" s="2" t="s">
        <v>1082</v>
      </c>
      <c r="D690" s="3">
        <v>0</v>
      </c>
      <c r="E690" s="3">
        <v>0</v>
      </c>
      <c r="F690" s="3">
        <v>5239.12</v>
      </c>
      <c r="G690" s="3">
        <v>0</v>
      </c>
      <c r="H690" s="342">
        <v>0</v>
      </c>
      <c r="I690" s="335"/>
    </row>
    <row r="691" spans="1:9" x14ac:dyDescent="0.25">
      <c r="A691" s="341" t="s">
        <v>1083</v>
      </c>
      <c r="B691" s="335"/>
      <c r="C691" s="2" t="s">
        <v>1084</v>
      </c>
      <c r="D691" s="3">
        <v>0</v>
      </c>
      <c r="E691" s="3">
        <v>14990.54</v>
      </c>
      <c r="F691" s="3">
        <v>4306.24</v>
      </c>
      <c r="G691" s="3">
        <v>0</v>
      </c>
      <c r="H691" s="342">
        <v>0</v>
      </c>
      <c r="I691" s="335"/>
    </row>
    <row r="692" spans="1:9" x14ac:dyDescent="0.25">
      <c r="A692" s="341" t="s">
        <v>1085</v>
      </c>
      <c r="B692" s="335"/>
      <c r="C692" s="2" t="s">
        <v>1086</v>
      </c>
      <c r="D692" s="3">
        <v>0</v>
      </c>
      <c r="E692" s="3">
        <v>8856.36</v>
      </c>
      <c r="F692" s="3">
        <v>0</v>
      </c>
      <c r="G692" s="3">
        <v>0</v>
      </c>
      <c r="H692" s="342">
        <v>0</v>
      </c>
      <c r="I692" s="335"/>
    </row>
    <row r="693" spans="1:9" x14ac:dyDescent="0.25">
      <c r="A693" s="341" t="s">
        <v>1087</v>
      </c>
      <c r="B693" s="335"/>
      <c r="C693" s="2" t="s">
        <v>1088</v>
      </c>
      <c r="D693" s="3">
        <v>0</v>
      </c>
      <c r="E693" s="3">
        <v>0</v>
      </c>
      <c r="F693" s="3">
        <v>0</v>
      </c>
      <c r="G693" s="3">
        <v>0</v>
      </c>
      <c r="H693" s="342">
        <v>0</v>
      </c>
      <c r="I693" s="335"/>
    </row>
    <row r="694" spans="1:9" x14ac:dyDescent="0.25">
      <c r="A694" s="341" t="s">
        <v>1089</v>
      </c>
      <c r="B694" s="335"/>
      <c r="C694" s="2" t="s">
        <v>1090</v>
      </c>
      <c r="D694" s="3">
        <v>90271.49</v>
      </c>
      <c r="E694" s="3">
        <v>42439.24</v>
      </c>
      <c r="F694" s="3">
        <v>0</v>
      </c>
      <c r="G694" s="3">
        <v>0</v>
      </c>
      <c r="H694" s="342">
        <v>0</v>
      </c>
      <c r="I694" s="335"/>
    </row>
    <row r="695" spans="1:9" x14ac:dyDescent="0.25">
      <c r="A695" s="341" t="s">
        <v>1091</v>
      </c>
      <c r="B695" s="335"/>
      <c r="C695" s="2" t="s">
        <v>1092</v>
      </c>
      <c r="D695" s="3">
        <v>0</v>
      </c>
      <c r="E695" s="3">
        <v>77566.45</v>
      </c>
      <c r="F695" s="3">
        <v>0</v>
      </c>
      <c r="G695" s="3">
        <v>0</v>
      </c>
      <c r="H695" s="342">
        <v>0</v>
      </c>
      <c r="I695" s="335"/>
    </row>
    <row r="696" spans="1:9" x14ac:dyDescent="0.25">
      <c r="A696" s="340" t="s">
        <v>1093</v>
      </c>
      <c r="B696" s="335"/>
      <c r="C696" s="1" t="s">
        <v>2</v>
      </c>
      <c r="D696" s="4">
        <v>90454.64</v>
      </c>
      <c r="E696" s="4">
        <v>200000</v>
      </c>
      <c r="F696" s="4">
        <v>9545.36</v>
      </c>
      <c r="G696" s="49">
        <v>0</v>
      </c>
      <c r="H696" s="343">
        <v>0</v>
      </c>
      <c r="I696" s="335"/>
    </row>
    <row r="697" spans="1:9" x14ac:dyDescent="0.25">
      <c r="A697" s="340" t="s">
        <v>2</v>
      </c>
      <c r="B697" s="335"/>
      <c r="C697" s="1" t="s">
        <v>2</v>
      </c>
      <c r="D697" s="1" t="s">
        <v>2</v>
      </c>
      <c r="E697" s="1" t="s">
        <v>2</v>
      </c>
      <c r="F697" s="1" t="s">
        <v>2</v>
      </c>
      <c r="G697" s="1" t="s">
        <v>2</v>
      </c>
      <c r="H697" s="340" t="s">
        <v>2</v>
      </c>
      <c r="I697" s="335"/>
    </row>
    <row r="698" spans="1:9" x14ac:dyDescent="0.25">
      <c r="A698" s="340" t="s">
        <v>1094</v>
      </c>
      <c r="B698" s="335"/>
      <c r="C698" s="1" t="s">
        <v>2</v>
      </c>
    </row>
    <row r="699" spans="1:9" x14ac:dyDescent="0.25">
      <c r="A699" s="340" t="s">
        <v>1095</v>
      </c>
      <c r="B699" s="335"/>
      <c r="C699" s="1" t="s">
        <v>2</v>
      </c>
    </row>
    <row r="700" spans="1:9" ht="24" x14ac:dyDescent="0.25">
      <c r="A700" s="341" t="s">
        <v>1096</v>
      </c>
      <c r="B700" s="335"/>
      <c r="C700" s="2" t="s">
        <v>1097</v>
      </c>
      <c r="D700" s="3">
        <v>0</v>
      </c>
      <c r="E700" s="3">
        <v>0</v>
      </c>
      <c r="F700" s="3">
        <v>0</v>
      </c>
      <c r="G700" s="3">
        <v>200000</v>
      </c>
      <c r="H700" s="342">
        <v>0</v>
      </c>
      <c r="I700" s="335"/>
    </row>
    <row r="701" spans="1:9" x14ac:dyDescent="0.25">
      <c r="A701" s="341" t="s">
        <v>1098</v>
      </c>
      <c r="B701" s="335"/>
      <c r="C701" s="2" t="s">
        <v>261</v>
      </c>
      <c r="D701" s="3">
        <v>0</v>
      </c>
      <c r="E701" s="3">
        <v>0</v>
      </c>
      <c r="F701" s="3">
        <v>0</v>
      </c>
      <c r="G701" s="3">
        <v>111336</v>
      </c>
      <c r="H701" s="342">
        <v>0</v>
      </c>
      <c r="I701" s="335"/>
    </row>
    <row r="702" spans="1:9" x14ac:dyDescent="0.25">
      <c r="A702" s="341" t="s">
        <v>1099</v>
      </c>
      <c r="B702" s="335"/>
      <c r="C702" s="2" t="s">
        <v>1100</v>
      </c>
      <c r="D702" s="3">
        <v>0</v>
      </c>
      <c r="E702" s="3">
        <v>0</v>
      </c>
      <c r="F702" s="3">
        <v>361.88</v>
      </c>
      <c r="G702" s="3">
        <v>0</v>
      </c>
      <c r="H702" s="342">
        <v>0</v>
      </c>
      <c r="I702" s="335"/>
    </row>
    <row r="703" spans="1:9" x14ac:dyDescent="0.25">
      <c r="A703" s="341" t="s">
        <v>1101</v>
      </c>
      <c r="B703" s="335"/>
      <c r="C703" s="2" t="s">
        <v>1102</v>
      </c>
      <c r="D703" s="3">
        <v>0</v>
      </c>
      <c r="E703" s="3">
        <v>0</v>
      </c>
      <c r="F703" s="3">
        <v>0</v>
      </c>
      <c r="G703" s="3">
        <v>850000</v>
      </c>
      <c r="H703" s="342">
        <v>0</v>
      </c>
      <c r="I703" s="335"/>
    </row>
    <row r="704" spans="1:9" ht="24" x14ac:dyDescent="0.25">
      <c r="A704" s="341" t="s">
        <v>1103</v>
      </c>
      <c r="B704" s="335"/>
      <c r="C704" s="2" t="s">
        <v>1104</v>
      </c>
      <c r="D704" s="3">
        <v>0</v>
      </c>
      <c r="E704" s="3">
        <v>0</v>
      </c>
      <c r="F704" s="3">
        <v>23000</v>
      </c>
      <c r="G704" s="3">
        <v>440000</v>
      </c>
      <c r="H704" s="342">
        <v>0</v>
      </c>
      <c r="I704" s="335"/>
    </row>
    <row r="705" spans="1:9" x14ac:dyDescent="0.25">
      <c r="A705" s="341" t="s">
        <v>1105</v>
      </c>
      <c r="B705" s="335"/>
      <c r="C705" s="2" t="s">
        <v>1106</v>
      </c>
      <c r="D705" s="3">
        <v>0</v>
      </c>
      <c r="E705" s="3">
        <v>0</v>
      </c>
      <c r="F705" s="3">
        <v>23627.67</v>
      </c>
      <c r="G705" s="3">
        <v>1659.2</v>
      </c>
      <c r="H705" s="342">
        <v>0</v>
      </c>
      <c r="I705" s="335"/>
    </row>
    <row r="706" spans="1:9" x14ac:dyDescent="0.25">
      <c r="A706" s="341" t="s">
        <v>1107</v>
      </c>
      <c r="B706" s="335"/>
      <c r="C706" s="2" t="s">
        <v>1108</v>
      </c>
      <c r="D706" s="3">
        <v>0</v>
      </c>
      <c r="E706" s="3">
        <v>0</v>
      </c>
      <c r="F706" s="3">
        <v>0</v>
      </c>
      <c r="G706" s="3">
        <v>6776.06</v>
      </c>
      <c r="H706" s="342">
        <v>0</v>
      </c>
      <c r="I706" s="335"/>
    </row>
    <row r="707" spans="1:9" x14ac:dyDescent="0.25">
      <c r="A707" s="341" t="s">
        <v>1109</v>
      </c>
      <c r="B707" s="335"/>
      <c r="C707" s="2" t="s">
        <v>1110</v>
      </c>
      <c r="D707" s="3">
        <v>0</v>
      </c>
      <c r="E707" s="3">
        <v>0</v>
      </c>
      <c r="F707" s="3">
        <v>4926.47</v>
      </c>
      <c r="G707" s="3">
        <v>0</v>
      </c>
      <c r="H707" s="342">
        <v>0</v>
      </c>
      <c r="I707" s="335"/>
    </row>
    <row r="708" spans="1:9" x14ac:dyDescent="0.25">
      <c r="A708" s="341" t="s">
        <v>1111</v>
      </c>
      <c r="B708" s="335"/>
      <c r="C708" s="2" t="s">
        <v>1112</v>
      </c>
      <c r="D708" s="3">
        <v>0</v>
      </c>
      <c r="E708" s="3">
        <v>0</v>
      </c>
      <c r="F708" s="3">
        <v>13591.3</v>
      </c>
      <c r="G708" s="3">
        <v>174.08</v>
      </c>
      <c r="H708" s="342">
        <v>0</v>
      </c>
      <c r="I708" s="335"/>
    </row>
    <row r="709" spans="1:9" x14ac:dyDescent="0.25">
      <c r="A709" s="341" t="s">
        <v>1113</v>
      </c>
      <c r="B709" s="335"/>
      <c r="C709" s="2" t="s">
        <v>1114</v>
      </c>
      <c r="D709" s="3">
        <v>0</v>
      </c>
      <c r="E709" s="3">
        <v>0</v>
      </c>
      <c r="F709" s="3">
        <v>0</v>
      </c>
      <c r="G709" s="3">
        <v>234500</v>
      </c>
      <c r="H709" s="342">
        <v>0</v>
      </c>
      <c r="I709" s="335"/>
    </row>
    <row r="710" spans="1:9" x14ac:dyDescent="0.25">
      <c r="A710" s="340" t="s">
        <v>1115</v>
      </c>
      <c r="B710" s="335"/>
      <c r="C710" s="1" t="s">
        <v>2</v>
      </c>
      <c r="D710" s="4">
        <v>0</v>
      </c>
      <c r="E710" s="4">
        <v>0</v>
      </c>
      <c r="F710" s="4">
        <v>65507.32</v>
      </c>
      <c r="G710" s="49">
        <v>1844445.34</v>
      </c>
      <c r="H710" s="343">
        <v>0</v>
      </c>
      <c r="I710" s="335"/>
    </row>
    <row r="711" spans="1:9" x14ac:dyDescent="0.25">
      <c r="A711" s="340" t="s">
        <v>2</v>
      </c>
      <c r="B711" s="335"/>
      <c r="C711" s="1" t="s">
        <v>2</v>
      </c>
      <c r="D711" s="1" t="s">
        <v>2</v>
      </c>
      <c r="E711" s="1" t="s">
        <v>2</v>
      </c>
      <c r="F711" s="1" t="s">
        <v>2</v>
      </c>
      <c r="G711" s="1" t="s">
        <v>2</v>
      </c>
      <c r="H711" s="340" t="s">
        <v>2</v>
      </c>
      <c r="I711" s="335"/>
    </row>
    <row r="712" spans="1:9" x14ac:dyDescent="0.25">
      <c r="A712" s="340" t="s">
        <v>1116</v>
      </c>
      <c r="B712" s="335"/>
      <c r="C712" s="1" t="s">
        <v>2</v>
      </c>
      <c r="D712" s="4">
        <v>0</v>
      </c>
      <c r="E712" s="4">
        <v>0</v>
      </c>
      <c r="F712" s="4">
        <v>65507.32</v>
      </c>
      <c r="G712" s="4">
        <v>1844445.34</v>
      </c>
      <c r="H712" s="343">
        <v>0</v>
      </c>
      <c r="I712" s="335"/>
    </row>
    <row r="713" spans="1:9" x14ac:dyDescent="0.25">
      <c r="A713" s="340" t="s">
        <v>2</v>
      </c>
      <c r="B713" s="335"/>
      <c r="C713" s="1" t="s">
        <v>2</v>
      </c>
      <c r="D713" s="1" t="s">
        <v>2</v>
      </c>
      <c r="E713" s="1" t="s">
        <v>2</v>
      </c>
      <c r="F713" s="1" t="s">
        <v>2</v>
      </c>
      <c r="G713" s="1" t="s">
        <v>2</v>
      </c>
      <c r="H713" s="340" t="s">
        <v>2</v>
      </c>
      <c r="I713" s="335"/>
    </row>
    <row r="714" spans="1:9" x14ac:dyDescent="0.25">
      <c r="A714" s="340" t="s">
        <v>1117</v>
      </c>
      <c r="B714" s="335"/>
      <c r="C714" s="1" t="s">
        <v>2</v>
      </c>
    </row>
    <row r="715" spans="1:9" ht="24" x14ac:dyDescent="0.25">
      <c r="A715" s="341" t="s">
        <v>1118</v>
      </c>
      <c r="B715" s="335"/>
      <c r="C715" s="2" t="s">
        <v>1097</v>
      </c>
      <c r="D715" s="3">
        <v>39000</v>
      </c>
      <c r="E715" s="3">
        <v>39000</v>
      </c>
      <c r="F715" s="3">
        <v>39000</v>
      </c>
      <c r="G715" s="3">
        <v>24000</v>
      </c>
      <c r="H715" s="342">
        <v>0</v>
      </c>
      <c r="I715" s="335"/>
    </row>
    <row r="716" spans="1:9" x14ac:dyDescent="0.25">
      <c r="A716" s="341" t="s">
        <v>1119</v>
      </c>
      <c r="B716" s="335"/>
      <c r="C716" s="2" t="s">
        <v>1120</v>
      </c>
      <c r="D716" s="3">
        <v>1995.95</v>
      </c>
      <c r="E716" s="3">
        <v>500</v>
      </c>
      <c r="F716" s="3">
        <v>2000</v>
      </c>
      <c r="G716" s="3">
        <v>1690.46</v>
      </c>
      <c r="H716" s="342">
        <v>0</v>
      </c>
      <c r="I716" s="335"/>
    </row>
    <row r="717" spans="1:9" x14ac:dyDescent="0.25">
      <c r="A717" s="341" t="s">
        <v>1121</v>
      </c>
      <c r="B717" s="335"/>
      <c r="C717" s="2" t="s">
        <v>275</v>
      </c>
      <c r="D717" s="3">
        <v>1871.79</v>
      </c>
      <c r="E717" s="3">
        <v>1233.17</v>
      </c>
      <c r="F717" s="3">
        <v>925.7</v>
      </c>
      <c r="G717" s="3">
        <v>0</v>
      </c>
      <c r="H717" s="342">
        <v>0</v>
      </c>
      <c r="I717" s="335"/>
    </row>
    <row r="718" spans="1:9" x14ac:dyDescent="0.25">
      <c r="A718" s="341" t="s">
        <v>1122</v>
      </c>
      <c r="B718" s="335"/>
      <c r="C718" s="2" t="s">
        <v>1123</v>
      </c>
      <c r="D718" s="3">
        <v>0</v>
      </c>
      <c r="E718" s="3">
        <v>0</v>
      </c>
      <c r="F718" s="3">
        <v>0</v>
      </c>
      <c r="G718" s="3">
        <v>0</v>
      </c>
      <c r="H718" s="342">
        <v>0</v>
      </c>
      <c r="I718" s="335"/>
    </row>
    <row r="719" spans="1:9" x14ac:dyDescent="0.25">
      <c r="A719" s="341" t="s">
        <v>1124</v>
      </c>
      <c r="B719" s="335"/>
      <c r="C719" s="2" t="s">
        <v>1125</v>
      </c>
      <c r="D719" s="3">
        <v>0</v>
      </c>
      <c r="E719" s="3">
        <v>0</v>
      </c>
      <c r="F719" s="3">
        <v>0</v>
      </c>
      <c r="G719" s="3">
        <v>0</v>
      </c>
      <c r="H719" s="342">
        <v>0</v>
      </c>
      <c r="I719" s="335"/>
    </row>
    <row r="720" spans="1:9" x14ac:dyDescent="0.25">
      <c r="A720" s="341" t="s">
        <v>1126</v>
      </c>
      <c r="B720" s="335"/>
      <c r="C720" s="2" t="s">
        <v>1127</v>
      </c>
      <c r="D720" s="3">
        <v>0</v>
      </c>
      <c r="E720" s="3">
        <v>0</v>
      </c>
      <c r="F720" s="3">
        <v>0</v>
      </c>
      <c r="G720" s="3">
        <v>0</v>
      </c>
      <c r="H720" s="342">
        <v>0</v>
      </c>
      <c r="I720" s="335"/>
    </row>
    <row r="721" spans="1:9" x14ac:dyDescent="0.25">
      <c r="A721" s="341" t="s">
        <v>1128</v>
      </c>
      <c r="B721" s="335"/>
      <c r="C721" s="2" t="s">
        <v>1129</v>
      </c>
      <c r="D721" s="3">
        <v>0</v>
      </c>
      <c r="E721" s="3">
        <v>0</v>
      </c>
      <c r="F721" s="3">
        <v>0</v>
      </c>
      <c r="G721" s="3">
        <v>0</v>
      </c>
      <c r="H721" s="342">
        <v>0</v>
      </c>
      <c r="I721" s="335"/>
    </row>
    <row r="722" spans="1:9" x14ac:dyDescent="0.25">
      <c r="A722" s="341" t="s">
        <v>1130</v>
      </c>
      <c r="B722" s="335"/>
      <c r="C722" s="2" t="s">
        <v>1131</v>
      </c>
      <c r="D722" s="3">
        <v>0</v>
      </c>
      <c r="E722" s="3">
        <v>0</v>
      </c>
      <c r="F722" s="3">
        <v>0</v>
      </c>
      <c r="G722" s="3">
        <v>0</v>
      </c>
      <c r="H722" s="342">
        <v>0</v>
      </c>
      <c r="I722" s="335"/>
    </row>
    <row r="723" spans="1:9" x14ac:dyDescent="0.25">
      <c r="A723" s="341" t="s">
        <v>1132</v>
      </c>
      <c r="B723" s="335"/>
      <c r="C723" s="2" t="s">
        <v>1123</v>
      </c>
      <c r="D723" s="3">
        <v>0</v>
      </c>
      <c r="E723" s="3">
        <v>0</v>
      </c>
      <c r="F723" s="3">
        <v>0</v>
      </c>
      <c r="G723" s="3">
        <v>0</v>
      </c>
      <c r="H723" s="342">
        <v>0</v>
      </c>
      <c r="I723" s="335"/>
    </row>
    <row r="724" spans="1:9" x14ac:dyDescent="0.25">
      <c r="A724" s="341" t="s">
        <v>3255</v>
      </c>
      <c r="B724" s="335"/>
      <c r="C724" s="2" t="s">
        <v>1125</v>
      </c>
      <c r="D724" s="3">
        <v>0</v>
      </c>
      <c r="E724" s="3">
        <v>0</v>
      </c>
      <c r="F724" s="3">
        <v>0</v>
      </c>
      <c r="G724" s="3">
        <v>0</v>
      </c>
      <c r="H724" s="342">
        <v>0</v>
      </c>
      <c r="I724" s="335"/>
    </row>
    <row r="725" spans="1:9" x14ac:dyDescent="0.25">
      <c r="A725" s="341" t="s">
        <v>1133</v>
      </c>
      <c r="B725" s="335"/>
      <c r="C725" s="2" t="s">
        <v>1134</v>
      </c>
      <c r="D725" s="3">
        <v>0</v>
      </c>
      <c r="E725" s="3">
        <v>1000</v>
      </c>
      <c r="F725" s="3">
        <v>2000</v>
      </c>
      <c r="G725" s="3">
        <v>1849.1</v>
      </c>
      <c r="H725" s="342">
        <v>0</v>
      </c>
      <c r="I725" s="335"/>
    </row>
    <row r="726" spans="1:9" x14ac:dyDescent="0.25">
      <c r="A726" s="341" t="s">
        <v>1135</v>
      </c>
      <c r="B726" s="335"/>
      <c r="C726" s="2" t="s">
        <v>1136</v>
      </c>
      <c r="D726" s="3">
        <v>0</v>
      </c>
      <c r="E726" s="3">
        <v>0</v>
      </c>
      <c r="F726" s="3">
        <v>1462.59</v>
      </c>
      <c r="G726" s="3">
        <v>0</v>
      </c>
      <c r="H726" s="342">
        <v>0</v>
      </c>
      <c r="I726" s="335"/>
    </row>
    <row r="727" spans="1:9" x14ac:dyDescent="0.25">
      <c r="A727" s="341" t="s">
        <v>1137</v>
      </c>
      <c r="B727" s="335"/>
      <c r="C727" s="2" t="s">
        <v>1138</v>
      </c>
      <c r="D727" s="3">
        <v>0</v>
      </c>
      <c r="E727" s="3">
        <v>0</v>
      </c>
      <c r="F727" s="3">
        <v>0</v>
      </c>
      <c r="G727" s="3">
        <v>0</v>
      </c>
      <c r="H727" s="342">
        <v>0</v>
      </c>
      <c r="I727" s="335"/>
    </row>
    <row r="728" spans="1:9" x14ac:dyDescent="0.25">
      <c r="A728" s="341" t="s">
        <v>1139</v>
      </c>
      <c r="B728" s="335"/>
      <c r="C728" s="2" t="s">
        <v>1140</v>
      </c>
      <c r="D728" s="3">
        <v>0</v>
      </c>
      <c r="E728" s="3">
        <v>0</v>
      </c>
      <c r="F728" s="3">
        <v>0</v>
      </c>
      <c r="G728" s="3">
        <v>0</v>
      </c>
      <c r="H728" s="342">
        <v>0</v>
      </c>
      <c r="I728" s="335"/>
    </row>
    <row r="729" spans="1:9" x14ac:dyDescent="0.25">
      <c r="A729" s="341" t="s">
        <v>1141</v>
      </c>
      <c r="B729" s="335"/>
      <c r="C729" s="2" t="s">
        <v>1142</v>
      </c>
      <c r="D729" s="3">
        <v>8000</v>
      </c>
      <c r="E729" s="3">
        <v>0</v>
      </c>
      <c r="F729" s="3">
        <v>8000</v>
      </c>
      <c r="G729" s="3">
        <v>0</v>
      </c>
      <c r="H729" s="342">
        <v>0</v>
      </c>
      <c r="I729" s="335"/>
    </row>
    <row r="730" spans="1:9" x14ac:dyDescent="0.25">
      <c r="A730" s="341" t="s">
        <v>1143</v>
      </c>
      <c r="B730" s="335"/>
      <c r="C730" s="2" t="s">
        <v>1144</v>
      </c>
      <c r="D730" s="3">
        <v>0</v>
      </c>
      <c r="E730" s="3">
        <v>0</v>
      </c>
      <c r="F730" s="3">
        <v>0</v>
      </c>
      <c r="G730" s="3">
        <v>0</v>
      </c>
      <c r="H730" s="342">
        <v>0</v>
      </c>
      <c r="I730" s="335"/>
    </row>
    <row r="731" spans="1:9" x14ac:dyDescent="0.25">
      <c r="A731" s="341" t="s">
        <v>3254</v>
      </c>
      <c r="B731" s="335"/>
      <c r="C731" s="2" t="s">
        <v>3253</v>
      </c>
      <c r="D731" s="3">
        <v>0</v>
      </c>
      <c r="E731" s="3">
        <v>0</v>
      </c>
      <c r="F731" s="3">
        <v>0</v>
      </c>
      <c r="G731" s="3">
        <v>0</v>
      </c>
      <c r="H731" s="342">
        <v>0</v>
      </c>
      <c r="I731" s="335"/>
    </row>
    <row r="732" spans="1:9" x14ac:dyDescent="0.25">
      <c r="A732" s="340" t="s">
        <v>1145</v>
      </c>
      <c r="B732" s="335"/>
      <c r="C732" s="1" t="s">
        <v>2</v>
      </c>
      <c r="D732" s="4">
        <v>50867.74</v>
      </c>
      <c r="E732" s="4">
        <v>41733.17</v>
      </c>
      <c r="F732" s="4">
        <v>53388.29</v>
      </c>
      <c r="G732" s="49">
        <v>27539.56</v>
      </c>
      <c r="H732" s="343">
        <v>0</v>
      </c>
      <c r="I732" s="335"/>
    </row>
    <row r="733" spans="1:9" x14ac:dyDescent="0.25">
      <c r="A733" s="340" t="s">
        <v>2</v>
      </c>
      <c r="B733" s="335"/>
      <c r="C733" s="1" t="s">
        <v>2</v>
      </c>
      <c r="D733" s="1" t="s">
        <v>2</v>
      </c>
      <c r="E733" s="1" t="s">
        <v>2</v>
      </c>
      <c r="F733" s="1" t="s">
        <v>2</v>
      </c>
      <c r="G733" s="1" t="s">
        <v>2</v>
      </c>
      <c r="H733" s="340" t="s">
        <v>2</v>
      </c>
      <c r="I733" s="335"/>
    </row>
    <row r="734" spans="1:9" x14ac:dyDescent="0.25">
      <c r="A734" s="340" t="s">
        <v>1146</v>
      </c>
      <c r="B734" s="335"/>
      <c r="C734" s="1" t="s">
        <v>2</v>
      </c>
    </row>
    <row r="735" spans="1:9" ht="24" x14ac:dyDescent="0.25">
      <c r="A735" s="341" t="s">
        <v>1148</v>
      </c>
      <c r="B735" s="335"/>
      <c r="C735" s="2" t="s">
        <v>1149</v>
      </c>
      <c r="D735" s="3">
        <v>40000</v>
      </c>
      <c r="E735" s="3">
        <v>40000</v>
      </c>
      <c r="F735" s="3">
        <v>40000</v>
      </c>
      <c r="G735" s="3">
        <v>0</v>
      </c>
      <c r="H735" s="342">
        <v>0</v>
      </c>
      <c r="I735" s="335"/>
    </row>
    <row r="736" spans="1:9" ht="24" x14ac:dyDescent="0.25">
      <c r="A736" s="341" t="s">
        <v>1150</v>
      </c>
      <c r="B736" s="335"/>
      <c r="C736" s="2" t="s">
        <v>1151</v>
      </c>
      <c r="D736" s="3">
        <v>61460</v>
      </c>
      <c r="E736" s="3">
        <v>62382</v>
      </c>
      <c r="F736" s="3">
        <v>63317</v>
      </c>
      <c r="G736" s="3">
        <v>0</v>
      </c>
      <c r="H736" s="342">
        <v>0</v>
      </c>
      <c r="I736" s="335"/>
    </row>
    <row r="737" spans="1:9" ht="24" x14ac:dyDescent="0.25">
      <c r="A737" s="341" t="s">
        <v>1154</v>
      </c>
      <c r="B737" s="335"/>
      <c r="C737" s="2" t="s">
        <v>1155</v>
      </c>
      <c r="D737" s="3">
        <v>13025</v>
      </c>
      <c r="E737" s="3">
        <v>11825</v>
      </c>
      <c r="F737" s="3">
        <v>10625</v>
      </c>
      <c r="G737" s="3">
        <v>4712.5</v>
      </c>
      <c r="H737" s="342">
        <v>0</v>
      </c>
      <c r="I737" s="335"/>
    </row>
    <row r="738" spans="1:9" x14ac:dyDescent="0.25">
      <c r="A738" s="341" t="s">
        <v>1156</v>
      </c>
      <c r="B738" s="335"/>
      <c r="C738" s="2" t="s">
        <v>1157</v>
      </c>
      <c r="D738" s="3">
        <v>8812</v>
      </c>
      <c r="E738" s="3">
        <v>7890</v>
      </c>
      <c r="F738" s="3">
        <v>6955</v>
      </c>
      <c r="G738" s="3">
        <v>0</v>
      </c>
      <c r="H738" s="342">
        <v>0</v>
      </c>
      <c r="I738" s="335"/>
    </row>
    <row r="739" spans="1:9" x14ac:dyDescent="0.25">
      <c r="A739" s="340" t="s">
        <v>1159</v>
      </c>
      <c r="B739" s="335"/>
      <c r="C739" s="1" t="s">
        <v>2</v>
      </c>
      <c r="D739" s="4">
        <v>123297</v>
      </c>
      <c r="E739" s="4">
        <v>122097</v>
      </c>
      <c r="F739" s="4">
        <v>120897</v>
      </c>
      <c r="G739" s="49">
        <v>4712.5</v>
      </c>
      <c r="H739" s="343">
        <v>0</v>
      </c>
      <c r="I739" s="335"/>
    </row>
    <row r="740" spans="1:9" x14ac:dyDescent="0.25">
      <c r="A740" s="340" t="s">
        <v>2</v>
      </c>
      <c r="B740" s="335"/>
      <c r="C740" s="1" t="s">
        <v>2</v>
      </c>
      <c r="D740" s="1" t="s">
        <v>2</v>
      </c>
      <c r="E740" s="1" t="s">
        <v>2</v>
      </c>
      <c r="F740" s="1" t="s">
        <v>2</v>
      </c>
      <c r="G740" s="1" t="s">
        <v>2</v>
      </c>
      <c r="H740" s="340" t="s">
        <v>2</v>
      </c>
      <c r="I740" s="335"/>
    </row>
    <row r="741" spans="1:9" x14ac:dyDescent="0.25">
      <c r="A741" s="340" t="s">
        <v>1160</v>
      </c>
      <c r="B741" s="335"/>
      <c r="C741" s="1" t="s">
        <v>2</v>
      </c>
    </row>
    <row r="742" spans="1:9" x14ac:dyDescent="0.25">
      <c r="A742" s="341" t="s">
        <v>1162</v>
      </c>
      <c r="B742" s="335"/>
      <c r="C742" s="2" t="s">
        <v>1163</v>
      </c>
      <c r="D742" s="3">
        <v>100000</v>
      </c>
      <c r="E742" s="3">
        <v>28000</v>
      </c>
      <c r="F742" s="3">
        <v>32111.62</v>
      </c>
      <c r="G742" s="3">
        <v>0</v>
      </c>
      <c r="H742" s="342">
        <v>0</v>
      </c>
      <c r="I742" s="335"/>
    </row>
    <row r="743" spans="1:9" x14ac:dyDescent="0.25">
      <c r="A743" s="341" t="s">
        <v>1165</v>
      </c>
      <c r="B743" s="335"/>
      <c r="C743" s="2" t="s">
        <v>1166</v>
      </c>
      <c r="D743" s="3">
        <v>11809.18</v>
      </c>
      <c r="E743" s="3">
        <v>6099.19</v>
      </c>
      <c r="F743" s="3">
        <v>4500.38</v>
      </c>
      <c r="G743" s="3">
        <v>0</v>
      </c>
      <c r="H743" s="342">
        <v>0</v>
      </c>
      <c r="I743" s="335"/>
    </row>
    <row r="744" spans="1:9" x14ac:dyDescent="0.25">
      <c r="A744" s="340" t="s">
        <v>3224</v>
      </c>
      <c r="B744" s="335"/>
      <c r="C744" s="1" t="s">
        <v>2</v>
      </c>
    </row>
    <row r="745" spans="1:9" ht="24" x14ac:dyDescent="0.25">
      <c r="A745" s="341" t="s">
        <v>1167</v>
      </c>
      <c r="B745" s="335"/>
      <c r="C745" s="2" t="s">
        <v>1168</v>
      </c>
      <c r="D745" s="3">
        <v>0</v>
      </c>
      <c r="E745" s="3">
        <v>0</v>
      </c>
      <c r="F745" s="3">
        <v>0</v>
      </c>
      <c r="G745" s="3">
        <v>0</v>
      </c>
      <c r="H745" s="342">
        <v>0</v>
      </c>
      <c r="I745" s="335"/>
    </row>
    <row r="746" spans="1:9" x14ac:dyDescent="0.25">
      <c r="A746" s="340" t="s">
        <v>3223</v>
      </c>
      <c r="B746" s="335"/>
      <c r="C746" s="1" t="s">
        <v>2</v>
      </c>
      <c r="D746" s="4">
        <v>0</v>
      </c>
      <c r="E746" s="4">
        <v>0</v>
      </c>
      <c r="F746" s="4">
        <v>0</v>
      </c>
      <c r="G746" s="4">
        <v>0</v>
      </c>
      <c r="H746" s="343">
        <v>0</v>
      </c>
      <c r="I746" s="335"/>
    </row>
    <row r="747" spans="1:9" x14ac:dyDescent="0.25">
      <c r="A747" s="340" t="s">
        <v>2</v>
      </c>
      <c r="B747" s="335"/>
      <c r="C747" s="1" t="s">
        <v>2</v>
      </c>
      <c r="D747" s="1" t="s">
        <v>2</v>
      </c>
      <c r="E747" s="1" t="s">
        <v>2</v>
      </c>
      <c r="F747" s="1" t="s">
        <v>2</v>
      </c>
      <c r="G747" s="1" t="s">
        <v>2</v>
      </c>
      <c r="H747" s="340" t="s">
        <v>2</v>
      </c>
      <c r="I747" s="335"/>
    </row>
    <row r="748" spans="1:9" x14ac:dyDescent="0.25">
      <c r="A748" s="340" t="s">
        <v>1169</v>
      </c>
      <c r="B748" s="335"/>
      <c r="C748" s="1" t="s">
        <v>2</v>
      </c>
      <c r="D748" s="4">
        <v>111809.18</v>
      </c>
      <c r="E748" s="4">
        <v>34099.19</v>
      </c>
      <c r="F748" s="4">
        <v>36612</v>
      </c>
      <c r="G748" s="4">
        <v>0</v>
      </c>
      <c r="H748" s="343">
        <v>0</v>
      </c>
      <c r="I748" s="335"/>
    </row>
    <row r="749" spans="1:9" x14ac:dyDescent="0.25">
      <c r="A749" s="340" t="s">
        <v>2</v>
      </c>
      <c r="B749" s="335"/>
      <c r="C749" s="1" t="s">
        <v>2</v>
      </c>
      <c r="D749" s="1" t="s">
        <v>2</v>
      </c>
      <c r="E749" s="1" t="s">
        <v>2</v>
      </c>
      <c r="F749" s="1" t="s">
        <v>2</v>
      </c>
      <c r="G749" s="1" t="s">
        <v>2</v>
      </c>
      <c r="H749" s="340" t="s">
        <v>2</v>
      </c>
      <c r="I749" s="335"/>
    </row>
    <row r="750" spans="1:9" x14ac:dyDescent="0.25">
      <c r="A750" s="340" t="s">
        <v>1170</v>
      </c>
      <c r="B750" s="335"/>
      <c r="C750" s="1" t="s">
        <v>2</v>
      </c>
    </row>
    <row r="751" spans="1:9" x14ac:dyDescent="0.25">
      <c r="A751" s="341" t="s">
        <v>1171</v>
      </c>
      <c r="B751" s="335"/>
      <c r="C751" s="2" t="s">
        <v>1172</v>
      </c>
      <c r="D751" s="3">
        <v>0</v>
      </c>
      <c r="E751" s="3">
        <v>0</v>
      </c>
      <c r="F751" s="3">
        <v>0</v>
      </c>
      <c r="G751" s="3">
        <v>0</v>
      </c>
      <c r="H751" s="342">
        <v>0</v>
      </c>
      <c r="I751" s="335"/>
    </row>
    <row r="752" spans="1:9" x14ac:dyDescent="0.25">
      <c r="A752" s="340" t="s">
        <v>1173</v>
      </c>
      <c r="B752" s="335"/>
      <c r="C752" s="1" t="s">
        <v>2</v>
      </c>
      <c r="D752" s="4">
        <v>0</v>
      </c>
      <c r="E752" s="4">
        <v>0</v>
      </c>
      <c r="F752" s="4">
        <v>0</v>
      </c>
      <c r="G752" s="49">
        <v>0</v>
      </c>
      <c r="H752" s="343">
        <v>0</v>
      </c>
      <c r="I752" s="335"/>
    </row>
    <row r="753" spans="1:9" x14ac:dyDescent="0.25">
      <c r="A753" s="340" t="s">
        <v>2</v>
      </c>
      <c r="B753" s="335"/>
      <c r="C753" s="1" t="s">
        <v>2</v>
      </c>
      <c r="D753" s="1" t="s">
        <v>2</v>
      </c>
      <c r="E753" s="1" t="s">
        <v>2</v>
      </c>
      <c r="F753" s="1" t="s">
        <v>2</v>
      </c>
      <c r="G753" s="1" t="s">
        <v>2</v>
      </c>
      <c r="H753" s="340" t="s">
        <v>2</v>
      </c>
      <c r="I753" s="335"/>
    </row>
    <row r="754" spans="1:9" x14ac:dyDescent="0.25">
      <c r="A754" s="340" t="s">
        <v>1174</v>
      </c>
      <c r="B754" s="335"/>
      <c r="C754" s="1" t="s">
        <v>2</v>
      </c>
    </row>
    <row r="755" spans="1:9" x14ac:dyDescent="0.25">
      <c r="A755" s="341" t="s">
        <v>1175</v>
      </c>
      <c r="B755" s="335"/>
      <c r="C755" s="2" t="s">
        <v>1163</v>
      </c>
      <c r="D755" s="3">
        <v>21999</v>
      </c>
      <c r="E755" s="3">
        <v>22921</v>
      </c>
      <c r="F755" s="3">
        <v>74169.600000000006</v>
      </c>
      <c r="G755" s="3">
        <v>0</v>
      </c>
      <c r="H755" s="342">
        <v>0</v>
      </c>
      <c r="I755" s="335"/>
    </row>
    <row r="756" spans="1:9" x14ac:dyDescent="0.25">
      <c r="A756" s="341" t="s">
        <v>1176</v>
      </c>
      <c r="B756" s="335"/>
      <c r="C756" s="2" t="s">
        <v>1166</v>
      </c>
      <c r="D756" s="3">
        <v>4721</v>
      </c>
      <c r="E756" s="3">
        <v>3799</v>
      </c>
      <c r="F756" s="3">
        <v>2896.62</v>
      </c>
      <c r="G756" s="3">
        <v>0</v>
      </c>
      <c r="H756" s="342">
        <v>0</v>
      </c>
      <c r="I756" s="335"/>
    </row>
    <row r="757" spans="1:9" x14ac:dyDescent="0.25">
      <c r="A757" s="340" t="s">
        <v>1177</v>
      </c>
      <c r="B757" s="335"/>
      <c r="C757" s="1" t="s">
        <v>2</v>
      </c>
      <c r="D757" s="4">
        <v>26720</v>
      </c>
      <c r="E757" s="4">
        <v>26720</v>
      </c>
      <c r="F757" s="4">
        <v>77066.22</v>
      </c>
      <c r="G757" s="49">
        <v>0</v>
      </c>
      <c r="H757" s="343">
        <v>0</v>
      </c>
      <c r="I757" s="335"/>
    </row>
    <row r="758" spans="1:9" x14ac:dyDescent="0.25">
      <c r="A758" s="340" t="s">
        <v>2</v>
      </c>
      <c r="B758" s="335"/>
      <c r="C758" s="1" t="s">
        <v>2</v>
      </c>
      <c r="D758" s="1" t="s">
        <v>2</v>
      </c>
      <c r="E758" s="1" t="s">
        <v>2</v>
      </c>
      <c r="F758" s="1" t="s">
        <v>2</v>
      </c>
      <c r="G758" s="1" t="s">
        <v>2</v>
      </c>
      <c r="H758" s="340" t="s">
        <v>2</v>
      </c>
      <c r="I758" s="335"/>
    </row>
    <row r="759" spans="1:9" x14ac:dyDescent="0.25">
      <c r="A759" s="340" t="s">
        <v>3252</v>
      </c>
      <c r="B759" s="335"/>
      <c r="C759" s="1" t="s">
        <v>2</v>
      </c>
    </row>
    <row r="760" spans="1:9" x14ac:dyDescent="0.25">
      <c r="A760" s="341" t="s">
        <v>1178</v>
      </c>
      <c r="B760" s="335"/>
      <c r="C760" s="2" t="s">
        <v>1163</v>
      </c>
      <c r="D760" s="3">
        <v>230000</v>
      </c>
      <c r="E760" s="3">
        <v>486000</v>
      </c>
      <c r="F760" s="3">
        <v>276000</v>
      </c>
      <c r="G760" s="3">
        <v>0</v>
      </c>
      <c r="H760" s="342">
        <v>0</v>
      </c>
      <c r="I760" s="335"/>
    </row>
    <row r="761" spans="1:9" x14ac:dyDescent="0.25">
      <c r="A761" s="341" t="s">
        <v>1179</v>
      </c>
      <c r="B761" s="335"/>
      <c r="C761" s="2" t="s">
        <v>1166</v>
      </c>
      <c r="D761" s="3">
        <v>192078.16</v>
      </c>
      <c r="E761" s="3">
        <v>131613.95000000001</v>
      </c>
      <c r="F761" s="3">
        <v>43290</v>
      </c>
      <c r="G761" s="3">
        <v>19602.599999999999</v>
      </c>
      <c r="H761" s="342">
        <v>0</v>
      </c>
      <c r="I761" s="335"/>
    </row>
    <row r="762" spans="1:9" x14ac:dyDescent="0.25">
      <c r="A762" s="341" t="s">
        <v>1180</v>
      </c>
      <c r="B762" s="335"/>
      <c r="C762" s="2" t="s">
        <v>1181</v>
      </c>
      <c r="D762" s="3">
        <v>600</v>
      </c>
      <c r="E762" s="3">
        <v>522.33000000000004</v>
      </c>
      <c r="F762" s="3">
        <v>470</v>
      </c>
      <c r="G762" s="3">
        <v>0</v>
      </c>
      <c r="H762" s="342">
        <v>0</v>
      </c>
      <c r="I762" s="335"/>
    </row>
    <row r="763" spans="1:9" x14ac:dyDescent="0.25">
      <c r="A763" s="341" t="s">
        <v>1182</v>
      </c>
      <c r="B763" s="335"/>
      <c r="C763" s="2" t="s">
        <v>1183</v>
      </c>
      <c r="D763" s="3">
        <v>0</v>
      </c>
      <c r="E763" s="3">
        <v>3120000</v>
      </c>
      <c r="F763" s="3">
        <v>0</v>
      </c>
      <c r="G763" s="3">
        <v>0</v>
      </c>
      <c r="H763" s="342">
        <v>0</v>
      </c>
      <c r="I763" s="335"/>
    </row>
    <row r="764" spans="1:9" ht="24" x14ac:dyDescent="0.25">
      <c r="A764" s="341" t="s">
        <v>1184</v>
      </c>
      <c r="B764" s="335"/>
      <c r="C764" s="2" t="s">
        <v>1185</v>
      </c>
      <c r="D764" s="3">
        <v>0</v>
      </c>
      <c r="E764" s="3">
        <v>47851.33</v>
      </c>
      <c r="F764" s="3">
        <v>0</v>
      </c>
      <c r="G764" s="3">
        <v>0</v>
      </c>
      <c r="H764" s="342">
        <v>0</v>
      </c>
      <c r="I764" s="335"/>
    </row>
    <row r="765" spans="1:9" x14ac:dyDescent="0.25">
      <c r="A765" s="340" t="s">
        <v>3251</v>
      </c>
      <c r="B765" s="335"/>
      <c r="C765" s="1" t="s">
        <v>2</v>
      </c>
      <c r="D765" s="4">
        <v>422678.16</v>
      </c>
      <c r="E765" s="4">
        <v>3785987.61</v>
      </c>
      <c r="F765" s="4">
        <v>319760</v>
      </c>
      <c r="G765" s="49">
        <v>19602.599999999999</v>
      </c>
      <c r="H765" s="343">
        <v>0</v>
      </c>
      <c r="I765" s="335"/>
    </row>
    <row r="766" spans="1:9" x14ac:dyDescent="0.25">
      <c r="A766" s="340" t="s">
        <v>2</v>
      </c>
      <c r="B766" s="335"/>
      <c r="C766" s="1" t="s">
        <v>2</v>
      </c>
      <c r="D766" s="1" t="s">
        <v>2</v>
      </c>
      <c r="E766" s="1" t="s">
        <v>2</v>
      </c>
      <c r="F766" s="1" t="s">
        <v>2</v>
      </c>
      <c r="G766" s="1" t="s">
        <v>2</v>
      </c>
      <c r="H766" s="340" t="s">
        <v>2</v>
      </c>
      <c r="I766" s="335"/>
    </row>
    <row r="767" spans="1:9" x14ac:dyDescent="0.25">
      <c r="A767" s="340" t="s">
        <v>1186</v>
      </c>
      <c r="B767" s="335"/>
      <c r="C767" s="1" t="s">
        <v>2</v>
      </c>
    </row>
    <row r="768" spans="1:9" x14ac:dyDescent="0.25">
      <c r="A768" s="341" t="s">
        <v>1187</v>
      </c>
      <c r="B768" s="335"/>
      <c r="C768" s="2" t="s">
        <v>1163</v>
      </c>
      <c r="D768" s="3">
        <v>125000</v>
      </c>
      <c r="E768" s="3">
        <v>125000</v>
      </c>
      <c r="F768" s="3">
        <v>130000</v>
      </c>
      <c r="G768" s="3">
        <v>0</v>
      </c>
      <c r="H768" s="342">
        <v>0</v>
      </c>
      <c r="I768" s="335"/>
    </row>
    <row r="769" spans="1:9" x14ac:dyDescent="0.25">
      <c r="A769" s="341" t="s">
        <v>1188</v>
      </c>
      <c r="B769" s="335"/>
      <c r="C769" s="2" t="s">
        <v>1166</v>
      </c>
      <c r="D769" s="3">
        <v>38175</v>
      </c>
      <c r="E769" s="3">
        <v>33800</v>
      </c>
      <c r="F769" s="3">
        <v>28800</v>
      </c>
      <c r="G769" s="3">
        <v>11800</v>
      </c>
      <c r="H769" s="342">
        <v>0</v>
      </c>
      <c r="I769" s="335"/>
    </row>
    <row r="770" spans="1:9" x14ac:dyDescent="0.25">
      <c r="A770" s="341" t="s">
        <v>1189</v>
      </c>
      <c r="B770" s="335"/>
      <c r="C770" s="2" t="s">
        <v>1181</v>
      </c>
      <c r="D770" s="3">
        <v>600</v>
      </c>
      <c r="E770" s="3">
        <v>300</v>
      </c>
      <c r="F770" s="3">
        <v>0</v>
      </c>
      <c r="G770" s="3">
        <v>0</v>
      </c>
      <c r="H770" s="342">
        <v>0</v>
      </c>
      <c r="I770" s="335"/>
    </row>
    <row r="771" spans="1:9" x14ac:dyDescent="0.25">
      <c r="A771" s="340" t="s">
        <v>1190</v>
      </c>
      <c r="B771" s="335"/>
      <c r="C771" s="1" t="s">
        <v>2</v>
      </c>
      <c r="D771" s="4">
        <v>163775</v>
      </c>
      <c r="E771" s="4">
        <v>159100</v>
      </c>
      <c r="F771" s="4">
        <v>158800</v>
      </c>
      <c r="G771" s="49">
        <v>11800</v>
      </c>
      <c r="H771" s="343">
        <v>0</v>
      </c>
      <c r="I771" s="335"/>
    </row>
    <row r="772" spans="1:9" x14ac:dyDescent="0.25">
      <c r="A772" s="340" t="s">
        <v>2</v>
      </c>
      <c r="B772" s="335"/>
      <c r="C772" s="1" t="s">
        <v>2</v>
      </c>
      <c r="D772" s="1" t="s">
        <v>2</v>
      </c>
      <c r="E772" s="1" t="s">
        <v>2</v>
      </c>
      <c r="F772" s="1" t="s">
        <v>2</v>
      </c>
      <c r="G772" s="1" t="s">
        <v>2</v>
      </c>
      <c r="H772" s="340" t="s">
        <v>2</v>
      </c>
      <c r="I772" s="335"/>
    </row>
    <row r="773" spans="1:9" x14ac:dyDescent="0.25">
      <c r="A773" s="340" t="s">
        <v>1191</v>
      </c>
      <c r="B773" s="335"/>
      <c r="C773" s="1" t="s">
        <v>2</v>
      </c>
    </row>
    <row r="774" spans="1:9" x14ac:dyDescent="0.25">
      <c r="A774" s="341" t="s">
        <v>1192</v>
      </c>
      <c r="B774" s="335"/>
      <c r="C774" s="2" t="s">
        <v>1163</v>
      </c>
      <c r="D774" s="3">
        <v>159213</v>
      </c>
      <c r="E774" s="3">
        <v>156758.38</v>
      </c>
      <c r="F774" s="3">
        <v>160113.87</v>
      </c>
      <c r="G774" s="3">
        <v>83404.5</v>
      </c>
      <c r="H774" s="342">
        <v>0</v>
      </c>
      <c r="I774" s="335"/>
    </row>
    <row r="775" spans="1:9" x14ac:dyDescent="0.25">
      <c r="A775" s="341" t="s">
        <v>1193</v>
      </c>
      <c r="B775" s="335"/>
      <c r="C775" s="2" t="s">
        <v>1166</v>
      </c>
      <c r="D775" s="3">
        <v>26859</v>
      </c>
      <c r="E775" s="3">
        <v>29313.62</v>
      </c>
      <c r="F775" s="3">
        <v>25958.13</v>
      </c>
      <c r="G775" s="3">
        <v>9631.5</v>
      </c>
      <c r="H775" s="342">
        <v>0</v>
      </c>
      <c r="I775" s="335"/>
    </row>
    <row r="776" spans="1:9" x14ac:dyDescent="0.25">
      <c r="A776" s="340" t="s">
        <v>1194</v>
      </c>
      <c r="B776" s="335"/>
      <c r="C776" s="1" t="s">
        <v>2</v>
      </c>
      <c r="D776" s="4">
        <v>186072</v>
      </c>
      <c r="E776" s="4">
        <v>186072</v>
      </c>
      <c r="F776" s="4">
        <v>186072</v>
      </c>
      <c r="G776" s="49">
        <v>93036</v>
      </c>
      <c r="H776" s="343">
        <v>0</v>
      </c>
      <c r="I776" s="335"/>
    </row>
    <row r="777" spans="1:9" x14ac:dyDescent="0.25">
      <c r="A777" s="340" t="s">
        <v>2</v>
      </c>
      <c r="B777" s="335"/>
      <c r="C777" s="1" t="s">
        <v>2</v>
      </c>
      <c r="D777" s="1" t="s">
        <v>2</v>
      </c>
      <c r="E777" s="1" t="s">
        <v>2</v>
      </c>
      <c r="F777" s="1" t="s">
        <v>2</v>
      </c>
      <c r="G777" s="1" t="s">
        <v>2</v>
      </c>
      <c r="H777" s="340" t="s">
        <v>2</v>
      </c>
      <c r="I777" s="335"/>
    </row>
    <row r="778" spans="1:9" x14ac:dyDescent="0.25">
      <c r="A778" s="340" t="s">
        <v>1195</v>
      </c>
      <c r="B778" s="335"/>
      <c r="C778" s="1" t="s">
        <v>2</v>
      </c>
    </row>
    <row r="779" spans="1:9" x14ac:dyDescent="0.25">
      <c r="A779" s="341" t="s">
        <v>1196</v>
      </c>
      <c r="B779" s="335"/>
      <c r="C779" s="2" t="s">
        <v>1197</v>
      </c>
      <c r="D779" s="3">
        <v>71335.789999999994</v>
      </c>
      <c r="E779" s="3">
        <v>70859.3</v>
      </c>
      <c r="F779" s="3">
        <v>59529</v>
      </c>
      <c r="G779" s="3">
        <v>3920.52</v>
      </c>
      <c r="H779" s="342">
        <v>0</v>
      </c>
      <c r="I779" s="335"/>
    </row>
    <row r="780" spans="1:9" x14ac:dyDescent="0.25">
      <c r="A780" s="341" t="s">
        <v>1198</v>
      </c>
      <c r="B780" s="335"/>
      <c r="C780" s="2" t="s">
        <v>1199</v>
      </c>
      <c r="D780" s="3">
        <v>81887.5</v>
      </c>
      <c r="E780" s="3">
        <v>79400</v>
      </c>
      <c r="F780" s="3">
        <v>79400</v>
      </c>
      <c r="G780" s="3">
        <v>5900</v>
      </c>
      <c r="H780" s="342">
        <v>0</v>
      </c>
      <c r="I780" s="335"/>
    </row>
    <row r="781" spans="1:9" ht="24" x14ac:dyDescent="0.25">
      <c r="A781" s="341" t="s">
        <v>1200</v>
      </c>
      <c r="B781" s="335"/>
      <c r="C781" s="2" t="s">
        <v>1201</v>
      </c>
      <c r="D781" s="3">
        <v>64793</v>
      </c>
      <c r="E781" s="3">
        <v>65967.48</v>
      </c>
      <c r="F781" s="3">
        <v>64794</v>
      </c>
      <c r="G781" s="3">
        <v>32983.74</v>
      </c>
      <c r="H781" s="342">
        <v>0</v>
      </c>
      <c r="I781" s="335"/>
    </row>
    <row r="782" spans="1:9" x14ac:dyDescent="0.25">
      <c r="A782" s="341" t="s">
        <v>1202</v>
      </c>
      <c r="B782" s="335"/>
      <c r="C782" s="2" t="s">
        <v>1203</v>
      </c>
      <c r="D782" s="3">
        <v>0</v>
      </c>
      <c r="E782" s="3">
        <v>0</v>
      </c>
      <c r="F782" s="3">
        <v>665000</v>
      </c>
      <c r="G782" s="3">
        <v>0</v>
      </c>
      <c r="H782" s="342">
        <v>0</v>
      </c>
      <c r="I782" s="335"/>
    </row>
    <row r="783" spans="1:9" x14ac:dyDescent="0.25">
      <c r="A783" s="341" t="s">
        <v>1204</v>
      </c>
      <c r="B783" s="335"/>
      <c r="C783" s="2" t="s">
        <v>1205</v>
      </c>
      <c r="D783" s="3">
        <v>0</v>
      </c>
      <c r="E783" s="3">
        <v>0</v>
      </c>
      <c r="F783" s="3">
        <v>0</v>
      </c>
      <c r="G783" s="3">
        <v>0</v>
      </c>
      <c r="H783" s="342">
        <v>0</v>
      </c>
      <c r="I783" s="335"/>
    </row>
    <row r="784" spans="1:9" x14ac:dyDescent="0.25">
      <c r="A784" s="341" t="s">
        <v>1206</v>
      </c>
      <c r="B784" s="335"/>
      <c r="C784" s="2" t="s">
        <v>1207</v>
      </c>
      <c r="D784" s="3">
        <v>0</v>
      </c>
      <c r="E784" s="3">
        <v>0</v>
      </c>
      <c r="F784" s="3">
        <v>0</v>
      </c>
      <c r="G784" s="3">
        <v>0</v>
      </c>
      <c r="H784" s="342">
        <v>0</v>
      </c>
      <c r="I784" s="335"/>
    </row>
    <row r="785" spans="1:9" x14ac:dyDescent="0.25">
      <c r="A785" s="341" t="s">
        <v>1208</v>
      </c>
      <c r="B785" s="335"/>
      <c r="C785" s="2" t="s">
        <v>1209</v>
      </c>
      <c r="D785" s="3">
        <v>0</v>
      </c>
      <c r="E785" s="3">
        <v>0</v>
      </c>
      <c r="F785" s="3">
        <v>7831.12</v>
      </c>
      <c r="G785" s="3">
        <v>0</v>
      </c>
      <c r="H785" s="342">
        <v>0</v>
      </c>
      <c r="I785" s="335"/>
    </row>
    <row r="786" spans="1:9" x14ac:dyDescent="0.25">
      <c r="A786" s="340" t="s">
        <v>1210</v>
      </c>
      <c r="B786" s="335"/>
      <c r="C786" s="1" t="s">
        <v>2</v>
      </c>
      <c r="D786" s="4">
        <v>218016.29</v>
      </c>
      <c r="E786" s="4">
        <v>216226.78</v>
      </c>
      <c r="F786" s="4">
        <v>876554.12</v>
      </c>
      <c r="G786" s="49">
        <v>42804.26</v>
      </c>
      <c r="H786" s="343">
        <v>0</v>
      </c>
      <c r="I786" s="335"/>
    </row>
    <row r="787" spans="1:9" x14ac:dyDescent="0.25">
      <c r="A787" s="340" t="s">
        <v>2</v>
      </c>
      <c r="B787" s="335"/>
      <c r="C787" s="1" t="s">
        <v>2</v>
      </c>
      <c r="D787" s="1" t="s">
        <v>2</v>
      </c>
      <c r="E787" s="1" t="s">
        <v>2</v>
      </c>
      <c r="F787" s="1" t="s">
        <v>2</v>
      </c>
      <c r="G787" s="1" t="s">
        <v>2</v>
      </c>
      <c r="H787" s="340" t="s">
        <v>2</v>
      </c>
      <c r="I787" s="335"/>
    </row>
    <row r="788" spans="1:9" x14ac:dyDescent="0.25">
      <c r="A788" s="340" t="s">
        <v>1211</v>
      </c>
      <c r="B788" s="335"/>
      <c r="C788" s="1" t="s">
        <v>2</v>
      </c>
    </row>
    <row r="789" spans="1:9" x14ac:dyDescent="0.25">
      <c r="A789" s="341" t="s">
        <v>1212</v>
      </c>
      <c r="B789" s="335"/>
      <c r="C789" s="2" t="s">
        <v>1213</v>
      </c>
      <c r="D789" s="3">
        <v>0</v>
      </c>
      <c r="E789" s="3">
        <v>100000</v>
      </c>
      <c r="F789" s="3">
        <v>54774.81</v>
      </c>
      <c r="G789" s="3">
        <v>776.88</v>
      </c>
      <c r="H789" s="342">
        <v>0</v>
      </c>
      <c r="I789" s="335"/>
    </row>
    <row r="790" spans="1:9" x14ac:dyDescent="0.25">
      <c r="A790" s="341" t="s">
        <v>1214</v>
      </c>
      <c r="B790" s="335"/>
      <c r="C790" s="2" t="s">
        <v>1215</v>
      </c>
      <c r="D790" s="3">
        <v>175000</v>
      </c>
      <c r="E790" s="3">
        <v>0</v>
      </c>
      <c r="F790" s="3">
        <v>270</v>
      </c>
      <c r="G790" s="3">
        <v>0</v>
      </c>
      <c r="H790" s="342">
        <v>0</v>
      </c>
      <c r="I790" s="335"/>
    </row>
    <row r="791" spans="1:9" x14ac:dyDescent="0.25">
      <c r="A791" s="341" t="s">
        <v>1216</v>
      </c>
      <c r="B791" s="335"/>
      <c r="C791" s="2" t="s">
        <v>1207</v>
      </c>
      <c r="D791" s="3">
        <v>0</v>
      </c>
      <c r="E791" s="3">
        <v>0</v>
      </c>
      <c r="F791" s="3">
        <v>0</v>
      </c>
      <c r="G791" s="3">
        <v>0</v>
      </c>
      <c r="H791" s="342">
        <v>0</v>
      </c>
      <c r="I791" s="335"/>
    </row>
    <row r="792" spans="1:9" ht="24" x14ac:dyDescent="0.25">
      <c r="A792" s="341" t="s">
        <v>1217</v>
      </c>
      <c r="B792" s="335"/>
      <c r="C792" s="2" t="s">
        <v>1218</v>
      </c>
      <c r="D792" s="3">
        <v>0</v>
      </c>
      <c r="E792" s="3">
        <v>0</v>
      </c>
      <c r="F792" s="3">
        <v>0</v>
      </c>
      <c r="G792" s="3">
        <v>0</v>
      </c>
      <c r="H792" s="342">
        <v>0</v>
      </c>
      <c r="I792" s="335"/>
    </row>
    <row r="793" spans="1:9" x14ac:dyDescent="0.25">
      <c r="A793" s="341" t="s">
        <v>1219</v>
      </c>
      <c r="B793" s="335"/>
      <c r="C793" s="2" t="s">
        <v>1209</v>
      </c>
      <c r="D793" s="3">
        <v>0</v>
      </c>
      <c r="E793" s="3">
        <v>0</v>
      </c>
      <c r="F793" s="3">
        <v>7831.12</v>
      </c>
      <c r="G793" s="3">
        <v>0</v>
      </c>
      <c r="H793" s="342">
        <v>0</v>
      </c>
      <c r="I793" s="335"/>
    </row>
    <row r="794" spans="1:9" x14ac:dyDescent="0.25">
      <c r="A794" s="340" t="s">
        <v>1220</v>
      </c>
      <c r="B794" s="335"/>
      <c r="C794" s="1" t="s">
        <v>2</v>
      </c>
      <c r="D794" s="4">
        <v>175000</v>
      </c>
      <c r="E794" s="4">
        <v>100000</v>
      </c>
      <c r="F794" s="4">
        <v>62875.93</v>
      </c>
      <c r="G794" s="49">
        <v>776.88</v>
      </c>
      <c r="H794" s="343">
        <v>0</v>
      </c>
      <c r="I794" s="335"/>
    </row>
    <row r="795" spans="1:9" x14ac:dyDescent="0.25">
      <c r="A795" s="340" t="s">
        <v>2</v>
      </c>
      <c r="B795" s="335"/>
      <c r="C795" s="1" t="s">
        <v>2</v>
      </c>
      <c r="D795" s="1" t="s">
        <v>2</v>
      </c>
      <c r="E795" s="1" t="s">
        <v>2</v>
      </c>
      <c r="F795" s="1" t="s">
        <v>2</v>
      </c>
      <c r="G795" s="1" t="s">
        <v>2</v>
      </c>
      <c r="H795" s="340" t="s">
        <v>2</v>
      </c>
      <c r="I795" s="335"/>
    </row>
    <row r="796" spans="1:9" x14ac:dyDescent="0.25">
      <c r="A796" s="341" t="s">
        <v>3250</v>
      </c>
      <c r="B796" s="335"/>
      <c r="C796" s="2" t="s">
        <v>3249</v>
      </c>
      <c r="D796" s="3">
        <v>43496.55</v>
      </c>
      <c r="E796" s="3">
        <v>0</v>
      </c>
      <c r="F796" s="3">
        <v>0</v>
      </c>
      <c r="G796" s="3">
        <v>0</v>
      </c>
      <c r="H796" s="342">
        <v>0</v>
      </c>
      <c r="I796" s="335"/>
    </row>
    <row r="797" spans="1:9" x14ac:dyDescent="0.25">
      <c r="A797" s="340" t="s">
        <v>1221</v>
      </c>
      <c r="B797" s="335"/>
      <c r="C797" s="1" t="s">
        <v>2</v>
      </c>
    </row>
    <row r="798" spans="1:9" x14ac:dyDescent="0.25">
      <c r="A798" s="340" t="s">
        <v>3248</v>
      </c>
      <c r="B798" s="335"/>
      <c r="C798" s="1" t="s">
        <v>2</v>
      </c>
    </row>
    <row r="799" spans="1:9" x14ac:dyDescent="0.25">
      <c r="A799" s="341" t="s">
        <v>1222</v>
      </c>
      <c r="B799" s="335"/>
      <c r="C799" s="2" t="s">
        <v>1223</v>
      </c>
      <c r="D799" s="3">
        <v>0</v>
      </c>
      <c r="E799" s="3">
        <v>0</v>
      </c>
      <c r="F799" s="3">
        <v>6114.92</v>
      </c>
      <c r="G799" s="3">
        <v>8745.44</v>
      </c>
      <c r="H799" s="342">
        <v>0</v>
      </c>
      <c r="I799" s="335"/>
    </row>
    <row r="800" spans="1:9" x14ac:dyDescent="0.25">
      <c r="A800" s="341" t="s">
        <v>1224</v>
      </c>
      <c r="B800" s="335"/>
      <c r="C800" s="2" t="s">
        <v>1225</v>
      </c>
      <c r="D800" s="3">
        <v>0</v>
      </c>
      <c r="E800" s="3">
        <v>0</v>
      </c>
      <c r="F800" s="3">
        <v>518.88</v>
      </c>
      <c r="G800" s="3">
        <v>789.16</v>
      </c>
      <c r="H800" s="342">
        <v>0</v>
      </c>
      <c r="I800" s="335"/>
    </row>
    <row r="801" spans="1:9" x14ac:dyDescent="0.25">
      <c r="A801" s="341" t="s">
        <v>1226</v>
      </c>
      <c r="B801" s="335"/>
      <c r="C801" s="2" t="s">
        <v>1227</v>
      </c>
      <c r="D801" s="3">
        <v>0</v>
      </c>
      <c r="E801" s="3">
        <v>0</v>
      </c>
      <c r="F801" s="3">
        <v>21.3</v>
      </c>
      <c r="G801" s="3">
        <v>27.8</v>
      </c>
      <c r="H801" s="342">
        <v>0</v>
      </c>
      <c r="I801" s="335"/>
    </row>
    <row r="802" spans="1:9" x14ac:dyDescent="0.25">
      <c r="A802" s="341" t="s">
        <v>1228</v>
      </c>
      <c r="B802" s="335"/>
      <c r="C802" s="2" t="s">
        <v>1229</v>
      </c>
      <c r="D802" s="3">
        <v>0</v>
      </c>
      <c r="E802" s="3">
        <v>0</v>
      </c>
      <c r="F802" s="3">
        <v>465.93</v>
      </c>
      <c r="G802" s="3">
        <v>666.23</v>
      </c>
      <c r="H802" s="342">
        <v>0</v>
      </c>
      <c r="I802" s="335"/>
    </row>
    <row r="803" spans="1:9" x14ac:dyDescent="0.25">
      <c r="A803" s="341" t="s">
        <v>1230</v>
      </c>
      <c r="B803" s="335"/>
      <c r="C803" s="2" t="s">
        <v>1231</v>
      </c>
      <c r="D803" s="3">
        <v>0</v>
      </c>
      <c r="E803" s="3">
        <v>0</v>
      </c>
      <c r="F803" s="3">
        <v>836.36</v>
      </c>
      <c r="G803" s="3">
        <v>1178.52</v>
      </c>
      <c r="H803" s="342">
        <v>0</v>
      </c>
      <c r="I803" s="335"/>
    </row>
    <row r="804" spans="1:9" x14ac:dyDescent="0.25">
      <c r="A804" s="341" t="s">
        <v>1232</v>
      </c>
      <c r="B804" s="335"/>
      <c r="C804" s="2" t="s">
        <v>13</v>
      </c>
      <c r="D804" s="3">
        <v>0</v>
      </c>
      <c r="E804" s="3">
        <v>0</v>
      </c>
      <c r="F804" s="3">
        <v>8.98</v>
      </c>
      <c r="G804" s="3">
        <v>17.86</v>
      </c>
      <c r="H804" s="342">
        <v>0</v>
      </c>
      <c r="I804" s="335"/>
    </row>
    <row r="805" spans="1:9" x14ac:dyDescent="0.25">
      <c r="A805" s="341" t="s">
        <v>1233</v>
      </c>
      <c r="B805" s="335"/>
      <c r="C805" s="2" t="s">
        <v>1234</v>
      </c>
      <c r="D805" s="3">
        <v>0</v>
      </c>
      <c r="E805" s="3">
        <v>0</v>
      </c>
      <c r="F805" s="3">
        <v>7695.87</v>
      </c>
      <c r="G805" s="3">
        <v>160800</v>
      </c>
      <c r="H805" s="342">
        <v>0</v>
      </c>
      <c r="I805" s="335"/>
    </row>
    <row r="806" spans="1:9" x14ac:dyDescent="0.25">
      <c r="A806" s="341" t="s">
        <v>1235</v>
      </c>
      <c r="B806" s="335"/>
      <c r="C806" s="2" t="s">
        <v>1236</v>
      </c>
      <c r="D806" s="3">
        <v>0</v>
      </c>
      <c r="E806" s="3">
        <v>0</v>
      </c>
      <c r="F806" s="3">
        <v>0</v>
      </c>
      <c r="G806" s="3">
        <v>0</v>
      </c>
      <c r="H806" s="342">
        <v>0</v>
      </c>
      <c r="I806" s="335"/>
    </row>
    <row r="807" spans="1:9" x14ac:dyDescent="0.25">
      <c r="A807" s="340" t="s">
        <v>3247</v>
      </c>
      <c r="B807" s="335"/>
      <c r="C807" s="1" t="s">
        <v>2</v>
      </c>
      <c r="D807" s="4">
        <v>0</v>
      </c>
      <c r="E807" s="4">
        <v>0</v>
      </c>
      <c r="F807" s="4">
        <v>15662.24</v>
      </c>
      <c r="G807" s="49">
        <v>172225.01</v>
      </c>
      <c r="H807" s="343">
        <v>0</v>
      </c>
      <c r="I807" s="335"/>
    </row>
    <row r="808" spans="1:9" x14ac:dyDescent="0.25">
      <c r="A808" s="340" t="s">
        <v>2</v>
      </c>
      <c r="B808" s="335"/>
      <c r="C808" s="1" t="s">
        <v>2</v>
      </c>
      <c r="D808" s="1" t="s">
        <v>2</v>
      </c>
      <c r="E808" s="1" t="s">
        <v>2</v>
      </c>
      <c r="F808" s="1" t="s">
        <v>2</v>
      </c>
      <c r="G808" s="1" t="s">
        <v>2</v>
      </c>
      <c r="H808" s="340" t="s">
        <v>2</v>
      </c>
      <c r="I808" s="335"/>
    </row>
    <row r="809" spans="1:9" x14ac:dyDescent="0.25">
      <c r="A809" s="340" t="s">
        <v>1237</v>
      </c>
      <c r="B809" s="335"/>
      <c r="C809" s="1" t="s">
        <v>2</v>
      </c>
      <c r="D809" s="4">
        <v>0</v>
      </c>
      <c r="E809" s="4">
        <v>0</v>
      </c>
      <c r="F809" s="4">
        <v>15662.24</v>
      </c>
      <c r="G809" s="4">
        <v>172225.01</v>
      </c>
      <c r="H809" s="343">
        <v>0</v>
      </c>
      <c r="I809" s="335"/>
    </row>
    <row r="810" spans="1:9" x14ac:dyDescent="0.25">
      <c r="A810" s="340" t="s">
        <v>2</v>
      </c>
      <c r="B810" s="335"/>
      <c r="C810" s="1" t="s">
        <v>2</v>
      </c>
      <c r="D810" s="1" t="s">
        <v>2</v>
      </c>
      <c r="E810" s="1" t="s">
        <v>2</v>
      </c>
      <c r="F810" s="1" t="s">
        <v>2</v>
      </c>
      <c r="G810" s="1" t="s">
        <v>2</v>
      </c>
      <c r="H810" s="340" t="s">
        <v>2</v>
      </c>
      <c r="I810" s="335"/>
    </row>
    <row r="811" spans="1:9" x14ac:dyDescent="0.25">
      <c r="A811" s="341" t="s">
        <v>3246</v>
      </c>
      <c r="B811" s="335"/>
      <c r="C811" s="2" t="s">
        <v>3245</v>
      </c>
      <c r="D811" s="3">
        <v>0</v>
      </c>
      <c r="E811" s="3">
        <v>0</v>
      </c>
      <c r="F811" s="3">
        <v>0</v>
      </c>
      <c r="G811" s="3">
        <v>0</v>
      </c>
      <c r="H811" s="342">
        <v>0</v>
      </c>
      <c r="I811" s="335"/>
    </row>
    <row r="812" spans="1:9" x14ac:dyDescent="0.25">
      <c r="A812" s="341" t="s">
        <v>3244</v>
      </c>
      <c r="B812" s="335"/>
      <c r="C812" s="2" t="s">
        <v>3243</v>
      </c>
      <c r="D812" s="3">
        <v>910.95</v>
      </c>
      <c r="E812" s="3">
        <v>0</v>
      </c>
      <c r="F812" s="3">
        <v>0</v>
      </c>
      <c r="G812" s="3">
        <v>0</v>
      </c>
      <c r="H812" s="342">
        <v>0</v>
      </c>
      <c r="I812" s="335"/>
    </row>
    <row r="813" spans="1:9" x14ac:dyDescent="0.25">
      <c r="A813" s="340" t="s">
        <v>1238</v>
      </c>
      <c r="B813" s="335"/>
      <c r="C813" s="1" t="s">
        <v>2</v>
      </c>
    </row>
    <row r="814" spans="1:9" x14ac:dyDescent="0.25">
      <c r="A814" s="341" t="s">
        <v>1240</v>
      </c>
      <c r="B814" s="335"/>
      <c r="C814" s="2" t="s">
        <v>1241</v>
      </c>
      <c r="D814" s="3">
        <v>5000</v>
      </c>
      <c r="E814" s="3">
        <v>5227.22</v>
      </c>
      <c r="F814" s="3">
        <v>0</v>
      </c>
      <c r="G814" s="3">
        <v>0</v>
      </c>
      <c r="H814" s="342">
        <v>0</v>
      </c>
      <c r="I814" s="335"/>
    </row>
    <row r="815" spans="1:9" x14ac:dyDescent="0.25">
      <c r="A815" s="341" t="s">
        <v>1242</v>
      </c>
      <c r="B815" s="335"/>
      <c r="C815" s="2" t="s">
        <v>144</v>
      </c>
      <c r="D815" s="3">
        <v>3196.06</v>
      </c>
      <c r="E815" s="3">
        <v>0</v>
      </c>
      <c r="F815" s="3">
        <v>0</v>
      </c>
      <c r="G815" s="3">
        <v>41.11</v>
      </c>
      <c r="H815" s="342">
        <v>0</v>
      </c>
      <c r="I815" s="335"/>
    </row>
    <row r="816" spans="1:9" x14ac:dyDescent="0.25">
      <c r="A816" s="341" t="s">
        <v>1243</v>
      </c>
      <c r="B816" s="335"/>
      <c r="C816" s="2" t="s">
        <v>1244</v>
      </c>
      <c r="D816" s="3">
        <v>718035.09</v>
      </c>
      <c r="E816" s="3">
        <v>520.94000000000005</v>
      </c>
      <c r="F816" s="3">
        <v>0</v>
      </c>
      <c r="G816" s="3">
        <v>0</v>
      </c>
      <c r="H816" s="342">
        <v>0</v>
      </c>
      <c r="I816" s="335"/>
    </row>
    <row r="817" spans="1:9" x14ac:dyDescent="0.25">
      <c r="A817" s="341" t="s">
        <v>1245</v>
      </c>
      <c r="B817" s="335"/>
      <c r="C817" s="2" t="s">
        <v>1246</v>
      </c>
      <c r="D817" s="3">
        <v>6890.63</v>
      </c>
      <c r="E817" s="3">
        <v>325766.57</v>
      </c>
      <c r="F817" s="3">
        <v>143219.82</v>
      </c>
      <c r="G817" s="3">
        <v>262065.46</v>
      </c>
      <c r="H817" s="342">
        <v>0</v>
      </c>
      <c r="I817" s="335"/>
    </row>
    <row r="818" spans="1:9" x14ac:dyDescent="0.25">
      <c r="A818" s="341" t="s">
        <v>1247</v>
      </c>
      <c r="B818" s="335"/>
      <c r="C818" s="2" t="s">
        <v>1248</v>
      </c>
      <c r="D818" s="3">
        <v>57852.45</v>
      </c>
      <c r="E818" s="3">
        <v>42302.98</v>
      </c>
      <c r="F818" s="3">
        <v>0</v>
      </c>
      <c r="G818" s="3">
        <v>0</v>
      </c>
      <c r="H818" s="342">
        <v>0</v>
      </c>
      <c r="I818" s="335"/>
    </row>
    <row r="819" spans="1:9" ht="24" x14ac:dyDescent="0.25">
      <c r="A819" s="341" t="s">
        <v>1249</v>
      </c>
      <c r="B819" s="335"/>
      <c r="C819" s="2" t="s">
        <v>1250</v>
      </c>
      <c r="D819" s="3">
        <v>0</v>
      </c>
      <c r="E819" s="3">
        <v>1824.87</v>
      </c>
      <c r="F819" s="3">
        <v>4100.7700000000004</v>
      </c>
      <c r="G819" s="3">
        <v>0</v>
      </c>
      <c r="H819" s="342">
        <v>0</v>
      </c>
      <c r="I819" s="335"/>
    </row>
    <row r="820" spans="1:9" x14ac:dyDescent="0.25">
      <c r="A820" s="341" t="s">
        <v>1251</v>
      </c>
      <c r="B820" s="335"/>
      <c r="C820" s="2" t="s">
        <v>1252</v>
      </c>
      <c r="D820" s="3">
        <v>866793.19</v>
      </c>
      <c r="E820" s="3">
        <v>138559.67999999999</v>
      </c>
      <c r="F820" s="3">
        <v>0</v>
      </c>
      <c r="G820" s="3">
        <v>0</v>
      </c>
      <c r="H820" s="342">
        <v>0</v>
      </c>
      <c r="I820" s="335"/>
    </row>
    <row r="821" spans="1:9" ht="24" x14ac:dyDescent="0.25">
      <c r="A821" s="341" t="s">
        <v>1253</v>
      </c>
      <c r="B821" s="335"/>
      <c r="C821" s="2" t="s">
        <v>1254</v>
      </c>
      <c r="D821" s="3">
        <v>112509.58</v>
      </c>
      <c r="E821" s="3">
        <v>188741.07</v>
      </c>
      <c r="F821" s="3">
        <v>108255.38</v>
      </c>
      <c r="G821" s="3">
        <v>145414.99</v>
      </c>
      <c r="H821" s="342">
        <v>0</v>
      </c>
      <c r="I821" s="335"/>
    </row>
    <row r="822" spans="1:9" x14ac:dyDescent="0.25">
      <c r="A822" s="341" t="s">
        <v>1255</v>
      </c>
      <c r="B822" s="335"/>
      <c r="C822" s="2" t="s">
        <v>1256</v>
      </c>
      <c r="D822" s="3">
        <v>1067.8399999999999</v>
      </c>
      <c r="E822" s="3">
        <v>4996295.63</v>
      </c>
      <c r="F822" s="3">
        <v>1611310.82</v>
      </c>
      <c r="G822" s="3">
        <v>3905613.49</v>
      </c>
      <c r="H822" s="342">
        <v>0</v>
      </c>
      <c r="I822" s="335"/>
    </row>
    <row r="823" spans="1:9" x14ac:dyDescent="0.25">
      <c r="A823" s="341" t="s">
        <v>1257</v>
      </c>
      <c r="B823" s="335"/>
      <c r="C823" s="2" t="s">
        <v>1258</v>
      </c>
      <c r="D823" s="3">
        <v>3785.09</v>
      </c>
      <c r="E823" s="3">
        <v>1963.43</v>
      </c>
      <c r="F823" s="3">
        <v>32378.3</v>
      </c>
      <c r="G823" s="3">
        <v>35772.730000000003</v>
      </c>
      <c r="H823" s="342">
        <v>0</v>
      </c>
      <c r="I823" s="335"/>
    </row>
    <row r="824" spans="1:9" x14ac:dyDescent="0.25">
      <c r="A824" s="341" t="s">
        <v>1260</v>
      </c>
      <c r="B824" s="335"/>
      <c r="C824" s="2" t="s">
        <v>1261</v>
      </c>
      <c r="D824" s="3">
        <v>80000</v>
      </c>
      <c r="E824" s="3">
        <v>0</v>
      </c>
      <c r="F824" s="3">
        <v>0</v>
      </c>
      <c r="G824" s="3">
        <v>0</v>
      </c>
      <c r="H824" s="342">
        <v>0</v>
      </c>
      <c r="I824" s="335"/>
    </row>
    <row r="825" spans="1:9" x14ac:dyDescent="0.25">
      <c r="A825" s="341" t="s">
        <v>1262</v>
      </c>
      <c r="B825" s="335"/>
      <c r="C825" s="2" t="s">
        <v>1263</v>
      </c>
      <c r="D825" s="3">
        <v>0</v>
      </c>
      <c r="E825" s="3">
        <v>3031000</v>
      </c>
      <c r="F825" s="3">
        <v>250000</v>
      </c>
      <c r="G825" s="3">
        <v>0</v>
      </c>
      <c r="H825" s="342">
        <v>0</v>
      </c>
      <c r="I825" s="335"/>
    </row>
    <row r="826" spans="1:9" ht="24" x14ac:dyDescent="0.25">
      <c r="A826" s="341" t="s">
        <v>1264</v>
      </c>
      <c r="B826" s="335"/>
      <c r="C826" s="2" t="s">
        <v>1265</v>
      </c>
      <c r="D826" s="3">
        <v>0</v>
      </c>
      <c r="E826" s="3">
        <v>42468.52</v>
      </c>
      <c r="F826" s="3">
        <v>1844.65</v>
      </c>
      <c r="G826" s="3">
        <v>0</v>
      </c>
      <c r="H826" s="342">
        <v>0</v>
      </c>
      <c r="I826" s="335"/>
    </row>
    <row r="827" spans="1:9" x14ac:dyDescent="0.25">
      <c r="A827" s="340" t="s">
        <v>1266</v>
      </c>
      <c r="B827" s="335"/>
      <c r="C827" s="1" t="s">
        <v>2</v>
      </c>
      <c r="D827" s="4">
        <v>1855129.93</v>
      </c>
      <c r="E827" s="4">
        <v>8774670.9100000001</v>
      </c>
      <c r="F827" s="4">
        <v>2151109.7400000002</v>
      </c>
      <c r="G827" s="49">
        <v>4348907.78</v>
      </c>
      <c r="H827" s="343">
        <v>0</v>
      </c>
      <c r="I827" s="335"/>
    </row>
    <row r="828" spans="1:9" x14ac:dyDescent="0.25">
      <c r="A828" s="340" t="s">
        <v>2</v>
      </c>
      <c r="B828" s="335"/>
      <c r="C828" s="1" t="s">
        <v>2</v>
      </c>
      <c r="D828" s="1" t="s">
        <v>2</v>
      </c>
      <c r="E828" s="1" t="s">
        <v>2</v>
      </c>
      <c r="F828" s="1" t="s">
        <v>2</v>
      </c>
      <c r="G828" s="1" t="s">
        <v>2</v>
      </c>
      <c r="H828" s="340" t="s">
        <v>2</v>
      </c>
      <c r="I828" s="335"/>
    </row>
    <row r="829" spans="1:9" x14ac:dyDescent="0.25">
      <c r="A829" s="340" t="s">
        <v>1267</v>
      </c>
      <c r="B829" s="335"/>
      <c r="C829" s="1" t="s">
        <v>2</v>
      </c>
    </row>
    <row r="830" spans="1:9" x14ac:dyDescent="0.25">
      <c r="A830" s="341" t="s">
        <v>1269</v>
      </c>
      <c r="B830" s="335"/>
      <c r="C830" s="2" t="s">
        <v>108</v>
      </c>
      <c r="D830" s="3">
        <v>38115.879999999997</v>
      </c>
      <c r="E830" s="3">
        <v>38277</v>
      </c>
      <c r="F830" s="3">
        <v>40930.51</v>
      </c>
      <c r="G830" s="3">
        <v>33496.730000000003</v>
      </c>
      <c r="H830" s="342">
        <v>0</v>
      </c>
      <c r="I830" s="335"/>
    </row>
    <row r="831" spans="1:9" x14ac:dyDescent="0.25">
      <c r="A831" s="341" t="s">
        <v>1270</v>
      </c>
      <c r="B831" s="335"/>
      <c r="C831" s="2" t="s">
        <v>652</v>
      </c>
      <c r="D831" s="3">
        <v>104224.04</v>
      </c>
      <c r="E831" s="3">
        <v>85204.55</v>
      </c>
      <c r="F831" s="3">
        <v>80131.490000000005</v>
      </c>
      <c r="G831" s="3">
        <v>67924.33</v>
      </c>
      <c r="H831" s="342">
        <v>0</v>
      </c>
      <c r="I831" s="335"/>
    </row>
    <row r="832" spans="1:9" x14ac:dyDescent="0.25">
      <c r="A832" s="341" t="s">
        <v>1271</v>
      </c>
      <c r="B832" s="335"/>
      <c r="C832" s="2" t="s">
        <v>29</v>
      </c>
      <c r="D832" s="3">
        <v>43824.47</v>
      </c>
      <c r="E832" s="3">
        <v>32235.47</v>
      </c>
      <c r="F832" s="3">
        <v>32920.6</v>
      </c>
      <c r="G832" s="3">
        <v>29782.799999999999</v>
      </c>
      <c r="H832" s="342">
        <v>0</v>
      </c>
      <c r="I832" s="335"/>
    </row>
    <row r="833" spans="1:9" x14ac:dyDescent="0.25">
      <c r="A833" s="341" t="s">
        <v>1272</v>
      </c>
      <c r="B833" s="335"/>
      <c r="C833" s="2" t="s">
        <v>128</v>
      </c>
      <c r="D833" s="3">
        <v>1136.72</v>
      </c>
      <c r="E833" s="3">
        <v>1157.82</v>
      </c>
      <c r="F833" s="3">
        <v>1087.3499999999999</v>
      </c>
      <c r="G833" s="3">
        <v>714.62</v>
      </c>
      <c r="H833" s="342">
        <v>0</v>
      </c>
      <c r="I833" s="335"/>
    </row>
    <row r="834" spans="1:9" x14ac:dyDescent="0.25">
      <c r="A834" s="341" t="s">
        <v>1273</v>
      </c>
      <c r="B834" s="335"/>
      <c r="C834" s="2" t="s">
        <v>33</v>
      </c>
      <c r="D834" s="3">
        <v>20837.79</v>
      </c>
      <c r="E834" s="3">
        <v>17730.07</v>
      </c>
      <c r="F834" s="3">
        <v>16333.6</v>
      </c>
      <c r="G834" s="3">
        <v>12165.59</v>
      </c>
      <c r="H834" s="342">
        <v>0</v>
      </c>
      <c r="I834" s="335"/>
    </row>
    <row r="835" spans="1:9" x14ac:dyDescent="0.25">
      <c r="A835" s="341" t="s">
        <v>1274</v>
      </c>
      <c r="B835" s="335"/>
      <c r="C835" s="2" t="s">
        <v>11</v>
      </c>
      <c r="D835" s="3">
        <v>10702.91</v>
      </c>
      <c r="E835" s="3">
        <v>9312.86</v>
      </c>
      <c r="F835" s="3">
        <v>9122.67</v>
      </c>
      <c r="G835" s="3">
        <v>7639.03</v>
      </c>
      <c r="H835" s="342">
        <v>0</v>
      </c>
      <c r="I835" s="335"/>
    </row>
    <row r="836" spans="1:9" x14ac:dyDescent="0.25">
      <c r="A836" s="341" t="s">
        <v>1275</v>
      </c>
      <c r="B836" s="335"/>
      <c r="C836" s="2" t="s">
        <v>13</v>
      </c>
      <c r="D836" s="3">
        <v>140.03</v>
      </c>
      <c r="E836" s="3">
        <v>183.38</v>
      </c>
      <c r="F836" s="3">
        <v>178.04</v>
      </c>
      <c r="G836" s="3">
        <v>215.23</v>
      </c>
      <c r="H836" s="342">
        <v>0</v>
      </c>
      <c r="I836" s="335"/>
    </row>
    <row r="837" spans="1:9" x14ac:dyDescent="0.25">
      <c r="A837" s="341" t="s">
        <v>1276</v>
      </c>
      <c r="B837" s="335"/>
      <c r="C837" s="2" t="s">
        <v>286</v>
      </c>
      <c r="D837" s="3">
        <v>67.08</v>
      </c>
      <c r="E837" s="3">
        <v>121.02</v>
      </c>
      <c r="F837" s="3">
        <v>67</v>
      </c>
      <c r="G837" s="3">
        <v>0</v>
      </c>
      <c r="H837" s="342">
        <v>0</v>
      </c>
      <c r="I837" s="335"/>
    </row>
    <row r="838" spans="1:9" x14ac:dyDescent="0.25">
      <c r="A838" s="341" t="s">
        <v>1277</v>
      </c>
      <c r="B838" s="335"/>
      <c r="C838" s="2" t="s">
        <v>1278</v>
      </c>
      <c r="D838" s="3">
        <v>0</v>
      </c>
      <c r="E838" s="3">
        <v>0</v>
      </c>
      <c r="F838" s="3">
        <v>0</v>
      </c>
      <c r="G838" s="3">
        <v>0</v>
      </c>
      <c r="H838" s="342">
        <v>0</v>
      </c>
      <c r="I838" s="335"/>
    </row>
    <row r="839" spans="1:9" x14ac:dyDescent="0.25">
      <c r="A839" s="341" t="s">
        <v>1279</v>
      </c>
      <c r="B839" s="335"/>
      <c r="C839" s="2" t="s">
        <v>37</v>
      </c>
      <c r="D839" s="3">
        <v>689.55</v>
      </c>
      <c r="E839" s="3">
        <v>366.36</v>
      </c>
      <c r="F839" s="3">
        <v>497.37</v>
      </c>
      <c r="G839" s="3">
        <v>629.52</v>
      </c>
      <c r="H839" s="342">
        <v>0</v>
      </c>
      <c r="I839" s="335"/>
    </row>
    <row r="840" spans="1:9" x14ac:dyDescent="0.25">
      <c r="A840" s="341" t="s">
        <v>1280</v>
      </c>
      <c r="B840" s="335"/>
      <c r="C840" s="2" t="s">
        <v>39</v>
      </c>
      <c r="D840" s="3">
        <v>184.4</v>
      </c>
      <c r="E840" s="3">
        <v>99.43</v>
      </c>
      <c r="F840" s="3">
        <v>0</v>
      </c>
      <c r="G840" s="3">
        <v>0</v>
      </c>
      <c r="H840" s="342">
        <v>0</v>
      </c>
      <c r="I840" s="335"/>
    </row>
    <row r="841" spans="1:9" x14ac:dyDescent="0.25">
      <c r="A841" s="341" t="s">
        <v>1281</v>
      </c>
      <c r="B841" s="335"/>
      <c r="C841" s="2" t="s">
        <v>907</v>
      </c>
      <c r="D841" s="3">
        <v>171843.66</v>
      </c>
      <c r="E841" s="3">
        <v>119010.61</v>
      </c>
      <c r="F841" s="3">
        <v>138125.85999999999</v>
      </c>
      <c r="G841" s="3">
        <v>119010.61</v>
      </c>
      <c r="H841" s="342">
        <v>0</v>
      </c>
      <c r="I841" s="335"/>
    </row>
    <row r="842" spans="1:9" x14ac:dyDescent="0.25">
      <c r="A842" s="341" t="s">
        <v>1282</v>
      </c>
      <c r="B842" s="335"/>
      <c r="C842" s="2" t="s">
        <v>1283</v>
      </c>
      <c r="D842" s="3">
        <v>73253.960000000006</v>
      </c>
      <c r="E842" s="3">
        <v>49046.03</v>
      </c>
      <c r="F842" s="3">
        <v>77322.259999999995</v>
      </c>
      <c r="G842" s="3">
        <v>49046.03</v>
      </c>
      <c r="H842" s="342">
        <v>0</v>
      </c>
      <c r="I842" s="335"/>
    </row>
    <row r="843" spans="1:9" ht="24" x14ac:dyDescent="0.25">
      <c r="A843" s="341" t="s">
        <v>1284</v>
      </c>
      <c r="B843" s="335"/>
      <c r="C843" s="2" t="s">
        <v>15</v>
      </c>
      <c r="D843" s="3">
        <v>12659.73</v>
      </c>
      <c r="E843" s="3">
        <v>8693.16</v>
      </c>
      <c r="F843" s="3">
        <v>28399.33</v>
      </c>
      <c r="G843" s="3">
        <v>8693.16</v>
      </c>
      <c r="H843" s="342">
        <v>0</v>
      </c>
      <c r="I843" s="335"/>
    </row>
    <row r="844" spans="1:9" ht="24" x14ac:dyDescent="0.25">
      <c r="A844" s="341" t="s">
        <v>1285</v>
      </c>
      <c r="B844" s="335"/>
      <c r="C844" s="2" t="s">
        <v>1286</v>
      </c>
      <c r="D844" s="3">
        <v>45829.33</v>
      </c>
      <c r="E844" s="3">
        <v>5083.95</v>
      </c>
      <c r="F844" s="3">
        <v>1862.84</v>
      </c>
      <c r="G844" s="3">
        <v>10922.79</v>
      </c>
      <c r="H844" s="342">
        <v>0</v>
      </c>
      <c r="I844" s="335"/>
    </row>
    <row r="845" spans="1:9" x14ac:dyDescent="0.25">
      <c r="A845" s="341" t="s">
        <v>1287</v>
      </c>
      <c r="B845" s="335"/>
      <c r="C845" s="2" t="s">
        <v>1288</v>
      </c>
      <c r="D845" s="3">
        <v>0</v>
      </c>
      <c r="E845" s="3">
        <v>0</v>
      </c>
      <c r="F845" s="3">
        <v>0</v>
      </c>
      <c r="G845" s="3">
        <v>0</v>
      </c>
      <c r="H845" s="342">
        <v>0</v>
      </c>
      <c r="I845" s="335"/>
    </row>
    <row r="846" spans="1:9" ht="36" x14ac:dyDescent="0.25">
      <c r="A846" s="341" t="s">
        <v>1289</v>
      </c>
      <c r="B846" s="335"/>
      <c r="C846" s="2" t="s">
        <v>1290</v>
      </c>
      <c r="D846" s="3">
        <v>19668.310000000001</v>
      </c>
      <c r="E846" s="3">
        <v>20594.91</v>
      </c>
      <c r="F846" s="3">
        <v>34098.03</v>
      </c>
      <c r="G846" s="3">
        <v>26782.54</v>
      </c>
      <c r="H846" s="342">
        <v>0</v>
      </c>
      <c r="I846" s="335"/>
    </row>
    <row r="847" spans="1:9" x14ac:dyDescent="0.25">
      <c r="A847" s="341" t="s">
        <v>1291</v>
      </c>
      <c r="B847" s="335"/>
      <c r="C847" s="2" t="s">
        <v>59</v>
      </c>
      <c r="D847" s="3">
        <v>2794.55</v>
      </c>
      <c r="E847" s="3">
        <v>343.08</v>
      </c>
      <c r="F847" s="3">
        <v>226.55</v>
      </c>
      <c r="G847" s="3">
        <v>456.03</v>
      </c>
      <c r="H847" s="342">
        <v>0</v>
      </c>
      <c r="I847" s="335"/>
    </row>
    <row r="848" spans="1:9" x14ac:dyDescent="0.25">
      <c r="A848" s="341" t="s">
        <v>1292</v>
      </c>
      <c r="B848" s="335"/>
      <c r="C848" s="2" t="s">
        <v>99</v>
      </c>
      <c r="D848" s="3">
        <v>5001.42</v>
      </c>
      <c r="E848" s="3">
        <v>6161.41</v>
      </c>
      <c r="F848" s="3">
        <v>8693.58</v>
      </c>
      <c r="G848" s="3">
        <v>5173.12</v>
      </c>
      <c r="H848" s="342">
        <v>0</v>
      </c>
      <c r="I848" s="335"/>
    </row>
    <row r="849" spans="1:9" x14ac:dyDescent="0.25">
      <c r="A849" s="341" t="s">
        <v>1293</v>
      </c>
      <c r="B849" s="335"/>
      <c r="C849" s="2" t="s">
        <v>17</v>
      </c>
      <c r="D849" s="3">
        <v>728.42</v>
      </c>
      <c r="E849" s="3">
        <v>0</v>
      </c>
      <c r="F849" s="3">
        <v>0</v>
      </c>
      <c r="G849" s="3">
        <v>0</v>
      </c>
      <c r="H849" s="342">
        <v>0</v>
      </c>
      <c r="I849" s="335"/>
    </row>
    <row r="850" spans="1:9" x14ac:dyDescent="0.25">
      <c r="A850" s="341" t="s">
        <v>1294</v>
      </c>
      <c r="B850" s="335"/>
      <c r="C850" s="2" t="s">
        <v>1295</v>
      </c>
      <c r="D850" s="3">
        <v>167.2</v>
      </c>
      <c r="E850" s="3">
        <v>1374.8</v>
      </c>
      <c r="F850" s="3">
        <v>0</v>
      </c>
      <c r="G850" s="3">
        <v>0</v>
      </c>
      <c r="H850" s="342">
        <v>0</v>
      </c>
      <c r="I850" s="335"/>
    </row>
    <row r="851" spans="1:9" x14ac:dyDescent="0.25">
      <c r="A851" s="341" t="s">
        <v>1296</v>
      </c>
      <c r="B851" s="335"/>
      <c r="C851" s="2" t="s">
        <v>917</v>
      </c>
      <c r="D851" s="3">
        <v>2779.9</v>
      </c>
      <c r="E851" s="3">
        <v>1691.41</v>
      </c>
      <c r="F851" s="3">
        <v>1476.96</v>
      </c>
      <c r="G851" s="3">
        <v>1108.3499999999999</v>
      </c>
      <c r="H851" s="342">
        <v>0</v>
      </c>
      <c r="I851" s="335"/>
    </row>
    <row r="852" spans="1:9" x14ac:dyDescent="0.25">
      <c r="A852" s="341" t="s">
        <v>1297</v>
      </c>
      <c r="B852" s="335"/>
      <c r="C852" s="2" t="s">
        <v>62</v>
      </c>
      <c r="D852" s="3">
        <v>885.58</v>
      </c>
      <c r="E852" s="3">
        <v>725.19</v>
      </c>
      <c r="F852" s="3">
        <v>621.24</v>
      </c>
      <c r="G852" s="3">
        <v>444.17</v>
      </c>
      <c r="H852" s="342">
        <v>0</v>
      </c>
      <c r="I852" s="335"/>
    </row>
    <row r="853" spans="1:9" x14ac:dyDescent="0.25">
      <c r="A853" s="341" t="s">
        <v>1298</v>
      </c>
      <c r="B853" s="335"/>
      <c r="C853" s="2" t="s">
        <v>947</v>
      </c>
      <c r="D853" s="3">
        <v>0</v>
      </c>
      <c r="E853" s="3">
        <v>0</v>
      </c>
      <c r="F853" s="3">
        <v>0</v>
      </c>
      <c r="G853" s="3">
        <v>0</v>
      </c>
      <c r="H853" s="342">
        <v>0</v>
      </c>
      <c r="I853" s="335"/>
    </row>
    <row r="854" spans="1:9" x14ac:dyDescent="0.25">
      <c r="A854" s="341" t="s">
        <v>1299</v>
      </c>
      <c r="B854" s="335"/>
      <c r="C854" s="2" t="s">
        <v>64</v>
      </c>
      <c r="D854" s="3">
        <v>574.1</v>
      </c>
      <c r="E854" s="3">
        <v>156.38</v>
      </c>
      <c r="F854" s="3">
        <v>503.79</v>
      </c>
      <c r="G854" s="3">
        <v>144.62</v>
      </c>
      <c r="H854" s="342">
        <v>0</v>
      </c>
      <c r="I854" s="335"/>
    </row>
    <row r="855" spans="1:9" x14ac:dyDescent="0.25">
      <c r="A855" s="341" t="s">
        <v>1300</v>
      </c>
      <c r="B855" s="335"/>
      <c r="C855" s="2" t="s">
        <v>1301</v>
      </c>
      <c r="D855" s="3">
        <v>0</v>
      </c>
      <c r="E855" s="3">
        <v>0</v>
      </c>
      <c r="F855" s="3">
        <v>0</v>
      </c>
      <c r="G855" s="3">
        <v>0</v>
      </c>
      <c r="H855" s="342">
        <v>0</v>
      </c>
      <c r="I855" s="335"/>
    </row>
    <row r="856" spans="1:9" x14ac:dyDescent="0.25">
      <c r="A856" s="341" t="s">
        <v>1302</v>
      </c>
      <c r="B856" s="335"/>
      <c r="C856" s="2" t="s">
        <v>1303</v>
      </c>
      <c r="D856" s="3">
        <v>124636.72</v>
      </c>
      <c r="E856" s="3">
        <v>166090.99</v>
      </c>
      <c r="F856" s="3">
        <v>192603.36</v>
      </c>
      <c r="G856" s="3">
        <v>133131.32999999999</v>
      </c>
      <c r="H856" s="342">
        <v>0</v>
      </c>
      <c r="I856" s="335"/>
    </row>
    <row r="857" spans="1:9" x14ac:dyDescent="0.25">
      <c r="A857" s="341" t="s">
        <v>1304</v>
      </c>
      <c r="B857" s="335"/>
      <c r="C857" s="2" t="s">
        <v>1305</v>
      </c>
      <c r="D857" s="3">
        <v>299130.11</v>
      </c>
      <c r="E857" s="3">
        <v>397415.41</v>
      </c>
      <c r="F857" s="3">
        <v>446396.47</v>
      </c>
      <c r="G857" s="3">
        <v>297224.39</v>
      </c>
      <c r="H857" s="342">
        <v>0</v>
      </c>
      <c r="I857" s="335"/>
    </row>
    <row r="858" spans="1:9" x14ac:dyDescent="0.25">
      <c r="A858" s="341" t="s">
        <v>1308</v>
      </c>
      <c r="B858" s="335"/>
      <c r="C858" s="2" t="s">
        <v>108</v>
      </c>
      <c r="D858" s="3">
        <v>265921.15999999997</v>
      </c>
      <c r="E858" s="3">
        <v>258863.47</v>
      </c>
      <c r="F858" s="3">
        <v>208669.67</v>
      </c>
      <c r="G858" s="3">
        <v>166154.79999999999</v>
      </c>
      <c r="H858" s="342">
        <v>0</v>
      </c>
      <c r="I858" s="335"/>
    </row>
    <row r="859" spans="1:9" x14ac:dyDescent="0.25">
      <c r="A859" s="341" t="s">
        <v>1309</v>
      </c>
      <c r="B859" s="335"/>
      <c r="C859" s="2" t="s">
        <v>567</v>
      </c>
      <c r="D859" s="3">
        <v>3360.02</v>
      </c>
      <c r="E859" s="3">
        <v>0</v>
      </c>
      <c r="F859" s="3">
        <v>1319.99</v>
      </c>
      <c r="G859" s="3">
        <v>1365</v>
      </c>
      <c r="H859" s="342">
        <v>0</v>
      </c>
      <c r="I859" s="335"/>
    </row>
    <row r="860" spans="1:9" x14ac:dyDescent="0.25">
      <c r="A860" s="341" t="s">
        <v>1310</v>
      </c>
      <c r="B860" s="335"/>
      <c r="C860" s="2" t="s">
        <v>786</v>
      </c>
      <c r="D860" s="3">
        <v>8658.48</v>
      </c>
      <c r="E860" s="3">
        <v>6499.18</v>
      </c>
      <c r="F860" s="3">
        <v>11191.54</v>
      </c>
      <c r="G860" s="3">
        <v>6565.41</v>
      </c>
      <c r="H860" s="342">
        <v>0</v>
      </c>
      <c r="I860" s="335"/>
    </row>
    <row r="861" spans="1:9" x14ac:dyDescent="0.25">
      <c r="A861" s="341" t="s">
        <v>1311</v>
      </c>
      <c r="B861" s="335"/>
      <c r="C861" s="2" t="s">
        <v>29</v>
      </c>
      <c r="D861" s="3">
        <v>71322.59</v>
      </c>
      <c r="E861" s="3">
        <v>63648.87</v>
      </c>
      <c r="F861" s="3">
        <v>53818.48</v>
      </c>
      <c r="G861" s="3">
        <v>45011.47</v>
      </c>
      <c r="H861" s="342">
        <v>0</v>
      </c>
      <c r="I861" s="335"/>
    </row>
    <row r="862" spans="1:9" x14ac:dyDescent="0.25">
      <c r="A862" s="341" t="s">
        <v>1312</v>
      </c>
      <c r="B862" s="335"/>
      <c r="C862" s="2" t="s">
        <v>128</v>
      </c>
      <c r="D862" s="3">
        <v>7559.71</v>
      </c>
      <c r="E862" s="3">
        <v>5788.4</v>
      </c>
      <c r="F862" s="3">
        <v>4998.75</v>
      </c>
      <c r="G862" s="3">
        <v>3184.48</v>
      </c>
      <c r="H862" s="342">
        <v>0</v>
      </c>
      <c r="I862" s="335"/>
    </row>
    <row r="863" spans="1:9" x14ac:dyDescent="0.25">
      <c r="A863" s="341" t="s">
        <v>1313</v>
      </c>
      <c r="B863" s="335"/>
      <c r="C863" s="2" t="s">
        <v>33</v>
      </c>
      <c r="D863" s="3">
        <v>38186.720000000001</v>
      </c>
      <c r="E863" s="3">
        <v>38712.92</v>
      </c>
      <c r="F863" s="3">
        <v>27605.88</v>
      </c>
      <c r="G863" s="3">
        <v>19526.349999999999</v>
      </c>
      <c r="H863" s="342">
        <v>0</v>
      </c>
      <c r="I863" s="335"/>
    </row>
    <row r="864" spans="1:9" x14ac:dyDescent="0.25">
      <c r="A864" s="341" t="s">
        <v>1314</v>
      </c>
      <c r="B864" s="335"/>
      <c r="C864" s="2" t="s">
        <v>11</v>
      </c>
      <c r="D864" s="3">
        <v>20334.18</v>
      </c>
      <c r="E864" s="3">
        <v>19547.080000000002</v>
      </c>
      <c r="F864" s="3">
        <v>15848.4</v>
      </c>
      <c r="G864" s="3">
        <v>12626.37</v>
      </c>
      <c r="H864" s="342">
        <v>0</v>
      </c>
      <c r="I864" s="335"/>
    </row>
    <row r="865" spans="1:9" x14ac:dyDescent="0.25">
      <c r="A865" s="341" t="s">
        <v>1315</v>
      </c>
      <c r="B865" s="335"/>
      <c r="C865" s="2" t="s">
        <v>13</v>
      </c>
      <c r="D865" s="3">
        <v>393.77</v>
      </c>
      <c r="E865" s="3">
        <v>390.19</v>
      </c>
      <c r="F865" s="3">
        <v>325.7</v>
      </c>
      <c r="G865" s="3">
        <v>371.66</v>
      </c>
      <c r="H865" s="342">
        <v>0</v>
      </c>
      <c r="I865" s="335"/>
    </row>
    <row r="866" spans="1:9" x14ac:dyDescent="0.25">
      <c r="A866" s="341" t="s">
        <v>1316</v>
      </c>
      <c r="B866" s="335"/>
      <c r="C866" s="2" t="s">
        <v>85</v>
      </c>
      <c r="D866" s="3">
        <v>685.5</v>
      </c>
      <c r="E866" s="3">
        <v>769.94</v>
      </c>
      <c r="F866" s="3">
        <v>1075.0899999999999</v>
      </c>
      <c r="G866" s="3">
        <v>1064.76</v>
      </c>
      <c r="H866" s="342">
        <v>0</v>
      </c>
      <c r="I866" s="335"/>
    </row>
    <row r="867" spans="1:9" x14ac:dyDescent="0.25">
      <c r="A867" s="341" t="s">
        <v>1317</v>
      </c>
      <c r="B867" s="335"/>
      <c r="C867" s="2" t="s">
        <v>577</v>
      </c>
      <c r="D867" s="3">
        <v>230.27</v>
      </c>
      <c r="E867" s="3">
        <v>134.06</v>
      </c>
      <c r="F867" s="3">
        <v>235.67</v>
      </c>
      <c r="G867" s="3">
        <v>112.55</v>
      </c>
      <c r="H867" s="342">
        <v>0</v>
      </c>
      <c r="I867" s="335"/>
    </row>
    <row r="868" spans="1:9" x14ac:dyDescent="0.25">
      <c r="A868" s="341" t="s">
        <v>1318</v>
      </c>
      <c r="B868" s="335"/>
      <c r="C868" s="2" t="s">
        <v>579</v>
      </c>
      <c r="D868" s="3">
        <v>1239.58</v>
      </c>
      <c r="E868" s="3">
        <v>942.75</v>
      </c>
      <c r="F868" s="3">
        <v>1482.42</v>
      </c>
      <c r="G868" s="3">
        <v>763.21</v>
      </c>
      <c r="H868" s="342">
        <v>0</v>
      </c>
      <c r="I868" s="335"/>
    </row>
    <row r="869" spans="1:9" x14ac:dyDescent="0.25">
      <c r="A869" s="341" t="s">
        <v>1319</v>
      </c>
      <c r="B869" s="335"/>
      <c r="C869" s="2" t="s">
        <v>581</v>
      </c>
      <c r="D869" s="3">
        <v>655.48</v>
      </c>
      <c r="E869" s="3">
        <v>492.57</v>
      </c>
      <c r="F869" s="3">
        <v>841.16</v>
      </c>
      <c r="G869" s="3">
        <v>495.92</v>
      </c>
      <c r="H869" s="342">
        <v>0</v>
      </c>
      <c r="I869" s="335"/>
    </row>
    <row r="870" spans="1:9" x14ac:dyDescent="0.25">
      <c r="A870" s="341" t="s">
        <v>1320</v>
      </c>
      <c r="B870" s="335"/>
      <c r="C870" s="2" t="s">
        <v>458</v>
      </c>
      <c r="D870" s="3">
        <v>1196.0999999999999</v>
      </c>
      <c r="E870" s="3">
        <v>1194.22</v>
      </c>
      <c r="F870" s="3">
        <v>1104.18</v>
      </c>
      <c r="G870" s="3">
        <v>328.03</v>
      </c>
      <c r="H870" s="342">
        <v>0</v>
      </c>
      <c r="I870" s="335"/>
    </row>
    <row r="871" spans="1:9" x14ac:dyDescent="0.25">
      <c r="A871" s="341" t="s">
        <v>1321</v>
      </c>
      <c r="B871" s="335"/>
      <c r="C871" s="2" t="s">
        <v>585</v>
      </c>
      <c r="D871" s="3">
        <v>150</v>
      </c>
      <c r="E871" s="3">
        <v>0</v>
      </c>
      <c r="F871" s="3">
        <v>315</v>
      </c>
      <c r="G871" s="3">
        <v>120.69</v>
      </c>
      <c r="H871" s="342">
        <v>0</v>
      </c>
      <c r="I871" s="335"/>
    </row>
    <row r="872" spans="1:9" x14ac:dyDescent="0.25">
      <c r="A872" s="341" t="s">
        <v>1322</v>
      </c>
      <c r="B872" s="335"/>
      <c r="C872" s="2" t="s">
        <v>1323</v>
      </c>
      <c r="D872" s="3">
        <v>99604.59</v>
      </c>
      <c r="E872" s="3">
        <v>91987.54</v>
      </c>
      <c r="F872" s="3">
        <v>120556.22</v>
      </c>
      <c r="G872" s="3">
        <v>49773.25</v>
      </c>
      <c r="H872" s="342">
        <v>0</v>
      </c>
      <c r="I872" s="335"/>
    </row>
    <row r="873" spans="1:9" x14ac:dyDescent="0.25">
      <c r="A873" s="341" t="s">
        <v>1324</v>
      </c>
      <c r="B873" s="335"/>
      <c r="C873" s="2" t="s">
        <v>1325</v>
      </c>
      <c r="D873" s="3">
        <v>2145.83</v>
      </c>
      <c r="E873" s="3">
        <v>4606.1099999999997</v>
      </c>
      <c r="F873" s="3">
        <v>0</v>
      </c>
      <c r="G873" s="3">
        <v>0</v>
      </c>
      <c r="H873" s="342">
        <v>0</v>
      </c>
      <c r="I873" s="335"/>
    </row>
    <row r="874" spans="1:9" x14ac:dyDescent="0.25">
      <c r="A874" s="341" t="s">
        <v>1326</v>
      </c>
      <c r="B874" s="335"/>
      <c r="C874" s="2" t="s">
        <v>1327</v>
      </c>
      <c r="D874" s="3">
        <v>3274.86</v>
      </c>
      <c r="E874" s="3">
        <v>2273.75</v>
      </c>
      <c r="F874" s="3">
        <v>3792.68</v>
      </c>
      <c r="G874" s="3">
        <v>4145.34</v>
      </c>
      <c r="H874" s="342">
        <v>0</v>
      </c>
      <c r="I874" s="335"/>
    </row>
    <row r="875" spans="1:9" x14ac:dyDescent="0.25">
      <c r="A875" s="341" t="s">
        <v>1328</v>
      </c>
      <c r="B875" s="335"/>
      <c r="C875" s="2" t="s">
        <v>940</v>
      </c>
      <c r="D875" s="3">
        <v>1940.39</v>
      </c>
      <c r="E875" s="3">
        <v>834.79</v>
      </c>
      <c r="F875" s="3">
        <v>2323.2399999999998</v>
      </c>
      <c r="G875" s="3">
        <v>3008.34</v>
      </c>
      <c r="H875" s="342">
        <v>0</v>
      </c>
      <c r="I875" s="335"/>
    </row>
    <row r="876" spans="1:9" ht="24" x14ac:dyDescent="0.25">
      <c r="A876" s="341" t="s">
        <v>1329</v>
      </c>
      <c r="B876" s="335"/>
      <c r="C876" s="2" t="s">
        <v>1330</v>
      </c>
      <c r="D876" s="3">
        <v>1174.3699999999999</v>
      </c>
      <c r="E876" s="3">
        <v>5372.94</v>
      </c>
      <c r="F876" s="3">
        <v>5322.31</v>
      </c>
      <c r="G876" s="3">
        <v>2374.9299999999998</v>
      </c>
      <c r="H876" s="342">
        <v>0</v>
      </c>
      <c r="I876" s="335"/>
    </row>
    <row r="877" spans="1:9" x14ac:dyDescent="0.25">
      <c r="A877" s="341" t="s">
        <v>1331</v>
      </c>
      <c r="B877" s="335"/>
      <c r="C877" s="2" t="s">
        <v>59</v>
      </c>
      <c r="D877" s="3">
        <v>0</v>
      </c>
      <c r="E877" s="3">
        <v>0</v>
      </c>
      <c r="F877" s="3">
        <v>0</v>
      </c>
      <c r="G877" s="3">
        <v>0</v>
      </c>
      <c r="H877" s="342">
        <v>0</v>
      </c>
      <c r="I877" s="335"/>
    </row>
    <row r="878" spans="1:9" x14ac:dyDescent="0.25">
      <c r="A878" s="341" t="s">
        <v>1332</v>
      </c>
      <c r="B878" s="335"/>
      <c r="C878" s="2" t="s">
        <v>17</v>
      </c>
      <c r="D878" s="3">
        <v>0</v>
      </c>
      <c r="E878" s="3">
        <v>0</v>
      </c>
      <c r="F878" s="3">
        <v>0</v>
      </c>
      <c r="G878" s="3">
        <v>0</v>
      </c>
      <c r="H878" s="342">
        <v>0</v>
      </c>
      <c r="I878" s="335"/>
    </row>
    <row r="879" spans="1:9" x14ac:dyDescent="0.25">
      <c r="A879" s="341" t="s">
        <v>1333</v>
      </c>
      <c r="B879" s="335"/>
      <c r="C879" s="2" t="s">
        <v>947</v>
      </c>
      <c r="D879" s="3">
        <v>0</v>
      </c>
      <c r="E879" s="3">
        <v>0</v>
      </c>
      <c r="F879" s="3">
        <v>178.08</v>
      </c>
      <c r="G879" s="3">
        <v>0</v>
      </c>
      <c r="H879" s="342">
        <v>0</v>
      </c>
      <c r="I879" s="335"/>
    </row>
    <row r="880" spans="1:9" x14ac:dyDescent="0.25">
      <c r="A880" s="341" t="s">
        <v>1334</v>
      </c>
      <c r="B880" s="335"/>
      <c r="C880" s="2" t="s">
        <v>64</v>
      </c>
      <c r="D880" s="3">
        <v>402.19</v>
      </c>
      <c r="E880" s="3">
        <v>548.35</v>
      </c>
      <c r="F880" s="3">
        <v>104.67</v>
      </c>
      <c r="G880" s="3">
        <v>0</v>
      </c>
      <c r="H880" s="342">
        <v>0</v>
      </c>
      <c r="I880" s="335"/>
    </row>
    <row r="881" spans="1:9" x14ac:dyDescent="0.25">
      <c r="A881" s="341" t="s">
        <v>1335</v>
      </c>
      <c r="B881" s="335"/>
      <c r="C881" s="2" t="s">
        <v>956</v>
      </c>
      <c r="D881" s="3">
        <v>1260</v>
      </c>
      <c r="E881" s="3">
        <v>210</v>
      </c>
      <c r="F881" s="3">
        <v>168</v>
      </c>
      <c r="G881" s="3">
        <v>52.02</v>
      </c>
      <c r="H881" s="342">
        <v>0</v>
      </c>
      <c r="I881" s="335"/>
    </row>
    <row r="882" spans="1:9" x14ac:dyDescent="0.25">
      <c r="A882" s="340" t="s">
        <v>3242</v>
      </c>
      <c r="B882" s="335"/>
      <c r="C882" s="1" t="s">
        <v>2</v>
      </c>
    </row>
    <row r="883" spans="1:9" x14ac:dyDescent="0.25">
      <c r="A883" s="341" t="s">
        <v>1338</v>
      </c>
      <c r="B883" s="335"/>
      <c r="C883" s="2" t="s">
        <v>786</v>
      </c>
      <c r="D883" s="3">
        <v>22393.919999999998</v>
      </c>
      <c r="E883" s="3">
        <v>23996.560000000001</v>
      </c>
      <c r="F883" s="3">
        <v>26705.3</v>
      </c>
      <c r="G883" s="3">
        <v>22251.55</v>
      </c>
      <c r="H883" s="342">
        <v>0</v>
      </c>
      <c r="I883" s="335"/>
    </row>
    <row r="884" spans="1:9" x14ac:dyDescent="0.25">
      <c r="A884" s="341" t="s">
        <v>1339</v>
      </c>
      <c r="B884" s="335"/>
      <c r="C884" s="2" t="s">
        <v>108</v>
      </c>
      <c r="D884" s="3">
        <v>176607.04</v>
      </c>
      <c r="E884" s="3">
        <v>193198.7</v>
      </c>
      <c r="F884" s="3">
        <v>217953.64</v>
      </c>
      <c r="G884" s="3">
        <v>179590.6</v>
      </c>
      <c r="H884" s="342">
        <v>0</v>
      </c>
      <c r="I884" s="335"/>
    </row>
    <row r="885" spans="1:9" x14ac:dyDescent="0.25">
      <c r="A885" s="341" t="s">
        <v>1340</v>
      </c>
      <c r="B885" s="335"/>
      <c r="C885" s="2" t="s">
        <v>1341</v>
      </c>
      <c r="D885" s="3">
        <v>2303.9499999999998</v>
      </c>
      <c r="E885" s="3">
        <v>0</v>
      </c>
      <c r="F885" s="3">
        <v>0</v>
      </c>
      <c r="G885" s="3">
        <v>0</v>
      </c>
      <c r="H885" s="342">
        <v>0</v>
      </c>
      <c r="I885" s="335"/>
    </row>
    <row r="886" spans="1:9" x14ac:dyDescent="0.25">
      <c r="A886" s="340" t="s">
        <v>3241</v>
      </c>
      <c r="B886" s="335"/>
      <c r="C886" s="1" t="s">
        <v>2</v>
      </c>
      <c r="D886" s="4">
        <v>201304.91</v>
      </c>
      <c r="E886" s="4">
        <v>217195.26</v>
      </c>
      <c r="F886" s="4">
        <v>244658.94</v>
      </c>
      <c r="G886" s="4">
        <v>201842.15</v>
      </c>
      <c r="H886" s="343">
        <v>0</v>
      </c>
      <c r="I886" s="335"/>
    </row>
    <row r="887" spans="1:9" x14ac:dyDescent="0.25">
      <c r="A887" s="340" t="s">
        <v>2</v>
      </c>
      <c r="B887" s="335"/>
      <c r="C887" s="1" t="s">
        <v>2</v>
      </c>
      <c r="D887" s="1" t="s">
        <v>2</v>
      </c>
      <c r="E887" s="1" t="s">
        <v>2</v>
      </c>
      <c r="F887" s="1" t="s">
        <v>2</v>
      </c>
      <c r="G887" s="1" t="s">
        <v>2</v>
      </c>
      <c r="H887" s="340" t="s">
        <v>2</v>
      </c>
      <c r="I887" s="335"/>
    </row>
    <row r="888" spans="1:9" x14ac:dyDescent="0.25">
      <c r="A888" s="341" t="s">
        <v>1342</v>
      </c>
      <c r="B888" s="335"/>
      <c r="C888" s="2" t="s">
        <v>29</v>
      </c>
      <c r="D888" s="3">
        <v>53182.45</v>
      </c>
      <c r="E888" s="3">
        <v>52580.19</v>
      </c>
      <c r="F888" s="3">
        <v>58188.52</v>
      </c>
      <c r="G888" s="3">
        <v>51264.33</v>
      </c>
      <c r="H888" s="342">
        <v>0</v>
      </c>
      <c r="I888" s="335"/>
    </row>
    <row r="889" spans="1:9" x14ac:dyDescent="0.25">
      <c r="A889" s="341" t="s">
        <v>1343</v>
      </c>
      <c r="B889" s="335"/>
      <c r="C889" s="2" t="s">
        <v>128</v>
      </c>
      <c r="D889" s="3">
        <v>4567.87</v>
      </c>
      <c r="E889" s="3">
        <v>3926.57</v>
      </c>
      <c r="F889" s="3">
        <v>4875.58</v>
      </c>
      <c r="G889" s="3">
        <v>3045.22</v>
      </c>
      <c r="H889" s="342">
        <v>0</v>
      </c>
      <c r="I889" s="335"/>
    </row>
    <row r="890" spans="1:9" x14ac:dyDescent="0.25">
      <c r="A890" s="341" t="s">
        <v>1344</v>
      </c>
      <c r="B890" s="335"/>
      <c r="C890" s="2" t="s">
        <v>33</v>
      </c>
      <c r="D890" s="3">
        <v>22391.64</v>
      </c>
      <c r="E890" s="3">
        <v>24674.47</v>
      </c>
      <c r="F890" s="3">
        <v>24379.96</v>
      </c>
      <c r="G890" s="3">
        <v>18229.38</v>
      </c>
      <c r="H890" s="342">
        <v>0</v>
      </c>
      <c r="I890" s="335"/>
    </row>
    <row r="891" spans="1:9" x14ac:dyDescent="0.25">
      <c r="A891" s="341" t="s">
        <v>1345</v>
      </c>
      <c r="B891" s="335"/>
      <c r="C891" s="2" t="s">
        <v>11</v>
      </c>
      <c r="D891" s="3">
        <v>13437.08</v>
      </c>
      <c r="E891" s="3">
        <v>14531.55</v>
      </c>
      <c r="F891" s="3">
        <v>16450.84</v>
      </c>
      <c r="G891" s="3">
        <v>13547.52</v>
      </c>
      <c r="H891" s="342">
        <v>0</v>
      </c>
      <c r="I891" s="335"/>
    </row>
    <row r="892" spans="1:9" x14ac:dyDescent="0.25">
      <c r="A892" s="341" t="s">
        <v>1346</v>
      </c>
      <c r="B892" s="335"/>
      <c r="C892" s="2" t="s">
        <v>1347</v>
      </c>
      <c r="D892" s="3">
        <v>2920.77</v>
      </c>
      <c r="E892" s="3">
        <v>3328.23</v>
      </c>
      <c r="F892" s="3">
        <v>3921.79</v>
      </c>
      <c r="G892" s="3">
        <v>2831.92</v>
      </c>
      <c r="H892" s="342">
        <v>0</v>
      </c>
      <c r="I892" s="335"/>
    </row>
    <row r="893" spans="1:9" x14ac:dyDescent="0.25">
      <c r="A893" s="341" t="s">
        <v>1348</v>
      </c>
      <c r="B893" s="335"/>
      <c r="C893" s="2" t="s">
        <v>13</v>
      </c>
      <c r="D893" s="3">
        <v>283.63</v>
      </c>
      <c r="E893" s="3">
        <v>318.70999999999998</v>
      </c>
      <c r="F893" s="3">
        <v>358.99</v>
      </c>
      <c r="G893" s="3">
        <v>430.21</v>
      </c>
      <c r="H893" s="342">
        <v>0</v>
      </c>
      <c r="I893" s="335"/>
    </row>
    <row r="894" spans="1:9" x14ac:dyDescent="0.25">
      <c r="A894" s="341" t="s">
        <v>1349</v>
      </c>
      <c r="B894" s="335"/>
      <c r="C894" s="2" t="s">
        <v>577</v>
      </c>
      <c r="D894" s="3">
        <v>505.59</v>
      </c>
      <c r="E894" s="3">
        <v>448.35</v>
      </c>
      <c r="F894" s="3">
        <v>505</v>
      </c>
      <c r="G894" s="3">
        <v>321.89</v>
      </c>
      <c r="H894" s="342">
        <v>0</v>
      </c>
      <c r="I894" s="335"/>
    </row>
    <row r="895" spans="1:9" x14ac:dyDescent="0.25">
      <c r="A895" s="341" t="s">
        <v>1350</v>
      </c>
      <c r="B895" s="335"/>
      <c r="C895" s="2" t="s">
        <v>579</v>
      </c>
      <c r="D895" s="3">
        <v>3180.87</v>
      </c>
      <c r="E895" s="3">
        <v>3454.44</v>
      </c>
      <c r="F895" s="3">
        <v>3526.39</v>
      </c>
      <c r="G895" s="3">
        <v>2639.8</v>
      </c>
      <c r="H895" s="342">
        <v>0</v>
      </c>
      <c r="I895" s="335"/>
    </row>
    <row r="896" spans="1:9" x14ac:dyDescent="0.25">
      <c r="A896" s="341" t="s">
        <v>1351</v>
      </c>
      <c r="B896" s="335"/>
      <c r="C896" s="2" t="s">
        <v>581</v>
      </c>
      <c r="D896" s="3">
        <v>1679.88</v>
      </c>
      <c r="E896" s="3">
        <v>1804.71</v>
      </c>
      <c r="F896" s="3">
        <v>2021.08</v>
      </c>
      <c r="G896" s="3">
        <v>1678.85</v>
      </c>
      <c r="H896" s="342">
        <v>0</v>
      </c>
      <c r="I896" s="335"/>
    </row>
    <row r="897" spans="1:9" x14ac:dyDescent="0.25">
      <c r="A897" s="341" t="s">
        <v>1352</v>
      </c>
      <c r="B897" s="335"/>
      <c r="C897" s="2" t="s">
        <v>458</v>
      </c>
      <c r="D897" s="3">
        <v>585.62</v>
      </c>
      <c r="E897" s="3">
        <v>814.24</v>
      </c>
      <c r="F897" s="3">
        <v>789.9</v>
      </c>
      <c r="G897" s="3">
        <v>325.97000000000003</v>
      </c>
      <c r="H897" s="342">
        <v>0</v>
      </c>
      <c r="I897" s="335"/>
    </row>
    <row r="898" spans="1:9" x14ac:dyDescent="0.25">
      <c r="A898" s="341" t="s">
        <v>1353</v>
      </c>
      <c r="B898" s="335"/>
      <c r="C898" s="2" t="s">
        <v>1354</v>
      </c>
      <c r="D898" s="3">
        <v>24177.89</v>
      </c>
      <c r="E898" s="3">
        <v>33992.839999999997</v>
      </c>
      <c r="F898" s="3">
        <v>64133.95</v>
      </c>
      <c r="G898" s="3">
        <v>47807.22</v>
      </c>
      <c r="H898" s="342">
        <v>0</v>
      </c>
      <c r="I898" s="335"/>
    </row>
    <row r="899" spans="1:9" x14ac:dyDescent="0.25">
      <c r="A899" s="341" t="s">
        <v>1355</v>
      </c>
      <c r="B899" s="335"/>
      <c r="C899" s="2" t="s">
        <v>1356</v>
      </c>
      <c r="D899" s="3">
        <v>4001.91</v>
      </c>
      <c r="E899" s="3">
        <v>1335.75</v>
      </c>
      <c r="F899" s="3">
        <v>483.28</v>
      </c>
      <c r="G899" s="3">
        <v>2875.37</v>
      </c>
      <c r="H899" s="342">
        <v>0</v>
      </c>
      <c r="I899" s="335"/>
    </row>
    <row r="900" spans="1:9" x14ac:dyDescent="0.25">
      <c r="A900" s="341" t="s">
        <v>1357</v>
      </c>
      <c r="B900" s="335"/>
      <c r="C900" s="2" t="s">
        <v>1358</v>
      </c>
      <c r="D900" s="3">
        <v>4997.5600000000004</v>
      </c>
      <c r="E900" s="3">
        <v>6015.64</v>
      </c>
      <c r="F900" s="3">
        <v>5155.9799999999996</v>
      </c>
      <c r="G900" s="3">
        <v>8252.59</v>
      </c>
      <c r="H900" s="342">
        <v>0</v>
      </c>
      <c r="I900" s="335"/>
    </row>
    <row r="901" spans="1:9" ht="24" x14ac:dyDescent="0.25">
      <c r="A901" s="341" t="s">
        <v>1359</v>
      </c>
      <c r="B901" s="335"/>
      <c r="C901" s="2" t="s">
        <v>1360</v>
      </c>
      <c r="D901" s="3">
        <v>10384.11</v>
      </c>
      <c r="E901" s="3">
        <v>8589.4699999999993</v>
      </c>
      <c r="F901" s="3">
        <v>6390.47</v>
      </c>
      <c r="G901" s="3">
        <v>8279.68</v>
      </c>
      <c r="H901" s="342">
        <v>0</v>
      </c>
      <c r="I901" s="335"/>
    </row>
    <row r="902" spans="1:9" x14ac:dyDescent="0.25">
      <c r="A902" s="341" t="s">
        <v>1361</v>
      </c>
      <c r="B902" s="335"/>
      <c r="C902" s="2" t="s">
        <v>1362</v>
      </c>
      <c r="D902" s="3">
        <v>37250.480000000003</v>
      </c>
      <c r="E902" s="3">
        <v>66877.179999999993</v>
      </c>
      <c r="F902" s="3">
        <v>54787.66</v>
      </c>
      <c r="G902" s="3">
        <v>48218.38</v>
      </c>
      <c r="H902" s="342">
        <v>0</v>
      </c>
      <c r="I902" s="335"/>
    </row>
    <row r="903" spans="1:9" x14ac:dyDescent="0.25">
      <c r="A903" s="341" t="s">
        <v>1363</v>
      </c>
      <c r="B903" s="335"/>
      <c r="C903" s="2" t="s">
        <v>1364</v>
      </c>
      <c r="D903" s="3">
        <v>0</v>
      </c>
      <c r="E903" s="3">
        <v>0</v>
      </c>
      <c r="F903" s="3">
        <v>0</v>
      </c>
      <c r="G903" s="3">
        <v>0</v>
      </c>
      <c r="H903" s="342">
        <v>0</v>
      </c>
      <c r="I903" s="335"/>
    </row>
    <row r="904" spans="1:9" x14ac:dyDescent="0.25">
      <c r="A904" s="341" t="s">
        <v>1365</v>
      </c>
      <c r="B904" s="335"/>
      <c r="C904" s="2" t="s">
        <v>1366</v>
      </c>
      <c r="D904" s="3">
        <v>0</v>
      </c>
      <c r="E904" s="3">
        <v>0</v>
      </c>
      <c r="F904" s="3">
        <v>0</v>
      </c>
      <c r="G904" s="3">
        <v>0</v>
      </c>
      <c r="H904" s="342">
        <v>0</v>
      </c>
      <c r="I904" s="335"/>
    </row>
    <row r="905" spans="1:9" x14ac:dyDescent="0.25">
      <c r="A905" s="341" t="s">
        <v>1367</v>
      </c>
      <c r="B905" s="335"/>
      <c r="C905" s="2" t="s">
        <v>1368</v>
      </c>
      <c r="D905" s="3">
        <v>9983.33</v>
      </c>
      <c r="E905" s="3">
        <v>7828</v>
      </c>
      <c r="F905" s="3">
        <v>10661</v>
      </c>
      <c r="G905" s="3">
        <v>4806.9799999999996</v>
      </c>
      <c r="H905" s="342">
        <v>0</v>
      </c>
      <c r="I905" s="335"/>
    </row>
    <row r="906" spans="1:9" x14ac:dyDescent="0.25">
      <c r="A906" s="341" t="s">
        <v>1369</v>
      </c>
      <c r="B906" s="335"/>
      <c r="C906" s="2" t="s">
        <v>1370</v>
      </c>
      <c r="D906" s="3">
        <v>1232.06</v>
      </c>
      <c r="E906" s="3">
        <v>2346.5300000000002</v>
      </c>
      <c r="F906" s="3">
        <v>3793.63</v>
      </c>
      <c r="G906" s="3">
        <v>910.64</v>
      </c>
      <c r="H906" s="342">
        <v>0</v>
      </c>
      <c r="I906" s="335"/>
    </row>
    <row r="907" spans="1:9" ht="24" x14ac:dyDescent="0.25">
      <c r="A907" s="341" t="s">
        <v>1371</v>
      </c>
      <c r="B907" s="335"/>
      <c r="C907" s="2" t="s">
        <v>1372</v>
      </c>
      <c r="D907" s="3">
        <v>42067.81</v>
      </c>
      <c r="E907" s="3">
        <v>74148.31</v>
      </c>
      <c r="F907" s="3">
        <v>54913.75</v>
      </c>
      <c r="G907" s="3">
        <v>31037.14</v>
      </c>
      <c r="H907" s="342">
        <v>0</v>
      </c>
      <c r="I907" s="335"/>
    </row>
    <row r="908" spans="1:9" x14ac:dyDescent="0.25">
      <c r="A908" s="341" t="s">
        <v>1373</v>
      </c>
      <c r="B908" s="335"/>
      <c r="C908" s="2" t="s">
        <v>604</v>
      </c>
      <c r="D908" s="3">
        <v>0</v>
      </c>
      <c r="E908" s="3">
        <v>0</v>
      </c>
      <c r="F908" s="3">
        <v>877.47</v>
      </c>
      <c r="G908" s="3">
        <v>0</v>
      </c>
      <c r="H908" s="342">
        <v>0</v>
      </c>
      <c r="I908" s="335"/>
    </row>
    <row r="909" spans="1:9" x14ac:dyDescent="0.25">
      <c r="A909" s="341" t="s">
        <v>1374</v>
      </c>
      <c r="B909" s="335"/>
      <c r="C909" s="2" t="s">
        <v>1375</v>
      </c>
      <c r="D909" s="3">
        <v>789.18</v>
      </c>
      <c r="E909" s="3">
        <v>78.77</v>
      </c>
      <c r="F909" s="3">
        <v>79.97</v>
      </c>
      <c r="G909" s="3">
        <v>97.69</v>
      </c>
      <c r="H909" s="342">
        <v>0</v>
      </c>
      <c r="I909" s="335"/>
    </row>
    <row r="910" spans="1:9" x14ac:dyDescent="0.25">
      <c r="A910" s="341" t="s">
        <v>1376</v>
      </c>
      <c r="B910" s="335"/>
      <c r="C910" s="2" t="s">
        <v>17</v>
      </c>
      <c r="D910" s="3">
        <v>645.24</v>
      </c>
      <c r="E910" s="3">
        <v>0</v>
      </c>
      <c r="F910" s="3">
        <v>318.93</v>
      </c>
      <c r="G910" s="3">
        <v>0</v>
      </c>
      <c r="H910" s="342">
        <v>0</v>
      </c>
      <c r="I910" s="335"/>
    </row>
    <row r="911" spans="1:9" x14ac:dyDescent="0.25">
      <c r="A911" s="341" t="s">
        <v>1377</v>
      </c>
      <c r="B911" s="335"/>
      <c r="C911" s="2" t="s">
        <v>305</v>
      </c>
      <c r="D911" s="3">
        <v>146693.38</v>
      </c>
      <c r="E911" s="3">
        <v>148273.76999999999</v>
      </c>
      <c r="F911" s="3">
        <v>185683.81</v>
      </c>
      <c r="G911" s="3">
        <v>121664.13</v>
      </c>
      <c r="H911" s="342">
        <v>0</v>
      </c>
      <c r="I911" s="335"/>
    </row>
    <row r="912" spans="1:9" x14ac:dyDescent="0.25">
      <c r="A912" s="341" t="s">
        <v>1378</v>
      </c>
      <c r="B912" s="335"/>
      <c r="C912" s="2" t="s">
        <v>1379</v>
      </c>
      <c r="D912" s="3">
        <v>178.12</v>
      </c>
      <c r="E912" s="3">
        <v>333.76</v>
      </c>
      <c r="F912" s="3">
        <v>403.38</v>
      </c>
      <c r="G912" s="3">
        <v>284.24</v>
      </c>
      <c r="H912" s="342">
        <v>0</v>
      </c>
      <c r="I912" s="335"/>
    </row>
    <row r="913" spans="1:9" x14ac:dyDescent="0.25">
      <c r="A913" s="341" t="s">
        <v>1380</v>
      </c>
      <c r="B913" s="335"/>
      <c r="C913" s="2" t="s">
        <v>1381</v>
      </c>
      <c r="D913" s="3">
        <v>165.36</v>
      </c>
      <c r="E913" s="3">
        <v>165.36</v>
      </c>
      <c r="F913" s="3">
        <v>165.36</v>
      </c>
      <c r="G913" s="3">
        <v>110.24</v>
      </c>
      <c r="H913" s="342">
        <v>0</v>
      </c>
      <c r="I913" s="335"/>
    </row>
    <row r="914" spans="1:9" x14ac:dyDescent="0.25">
      <c r="A914" s="341" t="s">
        <v>1382</v>
      </c>
      <c r="B914" s="335"/>
      <c r="C914" s="2" t="s">
        <v>947</v>
      </c>
      <c r="D914" s="3">
        <v>671.64</v>
      </c>
      <c r="E914" s="3">
        <v>625.51</v>
      </c>
      <c r="F914" s="3">
        <v>372.98</v>
      </c>
      <c r="G914" s="3">
        <v>271.95999999999998</v>
      </c>
      <c r="H914" s="342">
        <v>0</v>
      </c>
      <c r="I914" s="335"/>
    </row>
    <row r="915" spans="1:9" ht="24" x14ac:dyDescent="0.25">
      <c r="A915" s="341" t="s">
        <v>1383</v>
      </c>
      <c r="B915" s="335"/>
      <c r="C915" s="2" t="s">
        <v>1384</v>
      </c>
      <c r="D915" s="3">
        <v>10648.81</v>
      </c>
      <c r="E915" s="3">
        <v>12353.22</v>
      </c>
      <c r="F915" s="3">
        <v>31310.2</v>
      </c>
      <c r="G915" s="3">
        <v>7180.84</v>
      </c>
      <c r="H915" s="342">
        <v>0</v>
      </c>
      <c r="I915" s="335"/>
    </row>
    <row r="916" spans="1:9" x14ac:dyDescent="0.25">
      <c r="A916" s="341" t="s">
        <v>1385</v>
      </c>
      <c r="B916" s="335"/>
      <c r="C916" s="2" t="s">
        <v>64</v>
      </c>
      <c r="D916" s="3">
        <v>491.96</v>
      </c>
      <c r="E916" s="3">
        <v>8479.0400000000009</v>
      </c>
      <c r="F916" s="3">
        <v>2154.66</v>
      </c>
      <c r="G916" s="3">
        <v>1345.54</v>
      </c>
      <c r="H916" s="342">
        <v>0</v>
      </c>
      <c r="I916" s="335"/>
    </row>
    <row r="917" spans="1:9" x14ac:dyDescent="0.25">
      <c r="A917" s="341" t="s">
        <v>1386</v>
      </c>
      <c r="B917" s="335"/>
      <c r="C917" s="2" t="s">
        <v>624</v>
      </c>
      <c r="D917" s="3">
        <v>151.19999999999999</v>
      </c>
      <c r="E917" s="3">
        <v>1443.34</v>
      </c>
      <c r="F917" s="3">
        <v>851.7</v>
      </c>
      <c r="G917" s="3">
        <v>441.86</v>
      </c>
      <c r="H917" s="342">
        <v>0</v>
      </c>
      <c r="I917" s="335"/>
    </row>
    <row r="918" spans="1:9" x14ac:dyDescent="0.25">
      <c r="A918" s="341" t="s">
        <v>1387</v>
      </c>
      <c r="B918" s="335"/>
      <c r="C918" s="2" t="s">
        <v>1388</v>
      </c>
      <c r="D918" s="3">
        <v>1680.12</v>
      </c>
      <c r="E918" s="3">
        <v>822.57</v>
      </c>
      <c r="F918" s="3">
        <v>1972.8</v>
      </c>
      <c r="G918" s="3">
        <v>589</v>
      </c>
      <c r="H918" s="342">
        <v>0</v>
      </c>
      <c r="I918" s="335"/>
    </row>
    <row r="919" spans="1:9" x14ac:dyDescent="0.25">
      <c r="A919" s="341" t="s">
        <v>1389</v>
      </c>
      <c r="B919" s="335"/>
      <c r="C919" s="2" t="s">
        <v>1390</v>
      </c>
      <c r="D919" s="3">
        <v>6828</v>
      </c>
      <c r="E919" s="3">
        <v>0</v>
      </c>
      <c r="F919" s="3">
        <v>9607.2000000000007</v>
      </c>
      <c r="G919" s="3">
        <v>7553.29</v>
      </c>
      <c r="H919" s="342">
        <v>0</v>
      </c>
      <c r="I919" s="335"/>
    </row>
    <row r="920" spans="1:9" x14ac:dyDescent="0.25">
      <c r="A920" s="341" t="s">
        <v>1392</v>
      </c>
      <c r="B920" s="335"/>
      <c r="C920" s="2" t="s">
        <v>1393</v>
      </c>
      <c r="D920" s="3">
        <v>0</v>
      </c>
      <c r="E920" s="3">
        <v>0</v>
      </c>
      <c r="F920" s="3">
        <v>0</v>
      </c>
      <c r="G920" s="3">
        <v>0</v>
      </c>
      <c r="H920" s="342">
        <v>0</v>
      </c>
      <c r="I920" s="335"/>
    </row>
    <row r="921" spans="1:9" ht="24" x14ac:dyDescent="0.25">
      <c r="A921" s="341" t="s">
        <v>1394</v>
      </c>
      <c r="B921" s="335"/>
      <c r="C921" s="2" t="s">
        <v>1395</v>
      </c>
      <c r="D921" s="3">
        <v>4539.6099999999997</v>
      </c>
      <c r="E921" s="3">
        <v>12548.07</v>
      </c>
      <c r="F921" s="3">
        <v>90.53</v>
      </c>
      <c r="G921" s="3">
        <v>0</v>
      </c>
      <c r="H921" s="342">
        <v>0</v>
      </c>
      <c r="I921" s="335"/>
    </row>
    <row r="922" spans="1:9" ht="24" x14ac:dyDescent="0.25">
      <c r="A922" s="341" t="s">
        <v>1396</v>
      </c>
      <c r="B922" s="335"/>
      <c r="C922" s="2" t="s">
        <v>1397</v>
      </c>
      <c r="D922" s="3">
        <v>0</v>
      </c>
      <c r="E922" s="3">
        <v>0</v>
      </c>
      <c r="F922" s="3">
        <v>270</v>
      </c>
      <c r="G922" s="3">
        <v>13395.88</v>
      </c>
      <c r="H922" s="342">
        <v>0</v>
      </c>
      <c r="I922" s="335"/>
    </row>
    <row r="923" spans="1:9" ht="24" x14ac:dyDescent="0.25">
      <c r="A923" s="341" t="s">
        <v>1398</v>
      </c>
      <c r="B923" s="335"/>
      <c r="C923" s="2" t="s">
        <v>1399</v>
      </c>
      <c r="D923" s="3">
        <v>72450.5</v>
      </c>
      <c r="E923" s="3">
        <v>0</v>
      </c>
      <c r="F923" s="3">
        <v>0</v>
      </c>
      <c r="G923" s="3">
        <v>0</v>
      </c>
      <c r="H923" s="342">
        <v>0</v>
      </c>
      <c r="I923" s="335"/>
    </row>
    <row r="924" spans="1:9" x14ac:dyDescent="0.25">
      <c r="A924" s="341" t="s">
        <v>1400</v>
      </c>
      <c r="B924" s="335"/>
      <c r="C924" s="2" t="s">
        <v>850</v>
      </c>
      <c r="D924" s="3">
        <v>0</v>
      </c>
      <c r="E924" s="3">
        <v>0</v>
      </c>
      <c r="F924" s="3">
        <v>0</v>
      </c>
      <c r="G924" s="3">
        <v>0</v>
      </c>
      <c r="H924" s="342">
        <v>0</v>
      </c>
      <c r="I924" s="335"/>
    </row>
    <row r="925" spans="1:9" x14ac:dyDescent="0.25">
      <c r="A925" s="341" t="s">
        <v>1401</v>
      </c>
      <c r="B925" s="335"/>
      <c r="C925" s="2" t="s">
        <v>1402</v>
      </c>
      <c r="D925" s="3">
        <v>370.72</v>
      </c>
      <c r="E925" s="3">
        <v>0</v>
      </c>
      <c r="F925" s="3">
        <v>0</v>
      </c>
      <c r="G925" s="3">
        <v>0</v>
      </c>
      <c r="H925" s="342">
        <v>0</v>
      </c>
      <c r="I925" s="335"/>
    </row>
    <row r="926" spans="1:9" x14ac:dyDescent="0.25">
      <c r="A926" s="341" t="s">
        <v>1403</v>
      </c>
      <c r="B926" s="335"/>
      <c r="C926" s="2" t="s">
        <v>1404</v>
      </c>
      <c r="D926" s="3">
        <v>81178.92</v>
      </c>
      <c r="E926" s="3">
        <v>2473.31</v>
      </c>
      <c r="F926" s="3">
        <v>0</v>
      </c>
      <c r="G926" s="3">
        <v>0</v>
      </c>
      <c r="H926" s="342">
        <v>0</v>
      </c>
      <c r="I926" s="335"/>
    </row>
    <row r="927" spans="1:9" ht="24" x14ac:dyDescent="0.25">
      <c r="A927" s="341" t="s">
        <v>1405</v>
      </c>
      <c r="B927" s="335"/>
      <c r="C927" s="2" t="s">
        <v>1406</v>
      </c>
      <c r="D927" s="3">
        <v>0</v>
      </c>
      <c r="E927" s="3">
        <v>0</v>
      </c>
      <c r="F927" s="3">
        <v>0</v>
      </c>
      <c r="G927" s="3">
        <v>0</v>
      </c>
      <c r="H927" s="342">
        <v>0</v>
      </c>
      <c r="I927" s="335"/>
    </row>
    <row r="928" spans="1:9" x14ac:dyDescent="0.25">
      <c r="A928" s="341" t="s">
        <v>1407</v>
      </c>
      <c r="B928" s="335"/>
      <c r="C928" s="2" t="s">
        <v>1408</v>
      </c>
      <c r="D928" s="3">
        <v>0</v>
      </c>
      <c r="E928" s="3">
        <v>0</v>
      </c>
      <c r="F928" s="3">
        <v>0</v>
      </c>
      <c r="G928" s="3">
        <v>0</v>
      </c>
      <c r="H928" s="342">
        <v>0</v>
      </c>
      <c r="I928" s="335"/>
    </row>
    <row r="929" spans="1:9" x14ac:dyDescent="0.25">
      <c r="A929" s="341" t="s">
        <v>1409</v>
      </c>
      <c r="B929" s="335"/>
      <c r="C929" s="2" t="s">
        <v>1410</v>
      </c>
      <c r="D929" s="3">
        <v>0</v>
      </c>
      <c r="E929" s="3">
        <v>0</v>
      </c>
      <c r="F929" s="3">
        <v>0</v>
      </c>
      <c r="G929" s="3">
        <v>0</v>
      </c>
      <c r="H929" s="342">
        <v>0</v>
      </c>
      <c r="I929" s="335"/>
    </row>
    <row r="930" spans="1:9" x14ac:dyDescent="0.25">
      <c r="A930" s="341" t="s">
        <v>1411</v>
      </c>
      <c r="B930" s="335"/>
      <c r="C930" s="2" t="s">
        <v>1412</v>
      </c>
      <c r="D930" s="3">
        <v>0</v>
      </c>
      <c r="E930" s="3">
        <v>0</v>
      </c>
      <c r="F930" s="3">
        <v>0</v>
      </c>
      <c r="G930" s="3">
        <v>300.27</v>
      </c>
      <c r="H930" s="342">
        <v>0</v>
      </c>
      <c r="I930" s="335"/>
    </row>
    <row r="931" spans="1:9" x14ac:dyDescent="0.25">
      <c r="A931" s="341" t="s">
        <v>1413</v>
      </c>
      <c r="B931" s="335"/>
      <c r="C931" s="2" t="s">
        <v>1414</v>
      </c>
      <c r="D931" s="3">
        <v>12766.52</v>
      </c>
      <c r="E931" s="3">
        <v>33605.1</v>
      </c>
      <c r="F931" s="3">
        <v>0</v>
      </c>
      <c r="G931" s="3">
        <v>7333</v>
      </c>
      <c r="H931" s="342">
        <v>0</v>
      </c>
      <c r="I931" s="335"/>
    </row>
    <row r="932" spans="1:9" x14ac:dyDescent="0.25">
      <c r="A932" s="341" t="s">
        <v>1415</v>
      </c>
      <c r="B932" s="335"/>
      <c r="C932" s="2" t="s">
        <v>1416</v>
      </c>
      <c r="D932" s="3">
        <v>0</v>
      </c>
      <c r="E932" s="3">
        <v>0</v>
      </c>
      <c r="F932" s="3">
        <v>0</v>
      </c>
      <c r="G932" s="3">
        <v>0</v>
      </c>
      <c r="H932" s="342">
        <v>0</v>
      </c>
      <c r="I932" s="335"/>
    </row>
    <row r="933" spans="1:9" x14ac:dyDescent="0.25">
      <c r="A933" s="341" t="s">
        <v>1417</v>
      </c>
      <c r="B933" s="335"/>
      <c r="C933" s="2" t="s">
        <v>1418</v>
      </c>
      <c r="D933" s="3">
        <v>53760</v>
      </c>
      <c r="E933" s="3">
        <v>0</v>
      </c>
      <c r="F933" s="3">
        <v>0</v>
      </c>
      <c r="G933" s="3">
        <v>106816.59</v>
      </c>
      <c r="H933" s="342">
        <v>0</v>
      </c>
      <c r="I933" s="335"/>
    </row>
    <row r="934" spans="1:9" x14ac:dyDescent="0.25">
      <c r="A934" s="341" t="s">
        <v>1419</v>
      </c>
      <c r="B934" s="335"/>
      <c r="C934" s="2" t="s">
        <v>1420</v>
      </c>
      <c r="D934" s="3">
        <v>230890.05</v>
      </c>
      <c r="E934" s="3">
        <v>0</v>
      </c>
      <c r="F934" s="3">
        <v>0</v>
      </c>
      <c r="G934" s="3">
        <v>0</v>
      </c>
      <c r="H934" s="342">
        <v>0</v>
      </c>
      <c r="I934" s="335"/>
    </row>
    <row r="935" spans="1:9" x14ac:dyDescent="0.25">
      <c r="A935" s="341" t="s">
        <v>1421</v>
      </c>
      <c r="B935" s="335"/>
      <c r="C935" s="2" t="s">
        <v>1422</v>
      </c>
      <c r="D935" s="3">
        <v>62279.79</v>
      </c>
      <c r="E935" s="3">
        <v>0</v>
      </c>
      <c r="F935" s="3">
        <v>0</v>
      </c>
      <c r="G935" s="3">
        <v>0</v>
      </c>
      <c r="H935" s="342">
        <v>0</v>
      </c>
      <c r="I935" s="335"/>
    </row>
    <row r="936" spans="1:9" x14ac:dyDescent="0.25">
      <c r="A936" s="341" t="s">
        <v>1423</v>
      </c>
      <c r="B936" s="335"/>
      <c r="C936" s="2" t="s">
        <v>1424</v>
      </c>
      <c r="D936" s="3">
        <v>62637.52</v>
      </c>
      <c r="E936" s="3">
        <v>285419.27</v>
      </c>
      <c r="F936" s="3">
        <v>495.63</v>
      </c>
      <c r="G936" s="3">
        <v>0</v>
      </c>
      <c r="H936" s="342">
        <v>0</v>
      </c>
      <c r="I936" s="335"/>
    </row>
    <row r="937" spans="1:9" x14ac:dyDescent="0.25">
      <c r="A937" s="341" t="s">
        <v>1425</v>
      </c>
      <c r="B937" s="335"/>
      <c r="C937" s="2" t="s">
        <v>1426</v>
      </c>
      <c r="D937" s="3">
        <v>0</v>
      </c>
      <c r="E937" s="3">
        <v>8864.48</v>
      </c>
      <c r="F937" s="3">
        <v>0</v>
      </c>
      <c r="G937" s="3">
        <v>0</v>
      </c>
      <c r="H937" s="342">
        <v>0</v>
      </c>
      <c r="I937" s="335"/>
    </row>
    <row r="938" spans="1:9" x14ac:dyDescent="0.25">
      <c r="A938" s="341" t="s">
        <v>1427</v>
      </c>
      <c r="B938" s="335"/>
      <c r="C938" s="2" t="s">
        <v>1428</v>
      </c>
      <c r="D938" s="3">
        <v>0</v>
      </c>
      <c r="E938" s="3">
        <v>0</v>
      </c>
      <c r="F938" s="3">
        <v>41556.53</v>
      </c>
      <c r="G938" s="3">
        <v>96246.16</v>
      </c>
      <c r="H938" s="342">
        <v>0</v>
      </c>
      <c r="I938" s="335"/>
    </row>
    <row r="939" spans="1:9" x14ac:dyDescent="0.25">
      <c r="A939" s="341" t="s">
        <v>1429</v>
      </c>
      <c r="B939" s="335"/>
      <c r="C939" s="2" t="s">
        <v>1430</v>
      </c>
      <c r="D939" s="3">
        <v>0</v>
      </c>
      <c r="E939" s="3">
        <v>75541.61</v>
      </c>
      <c r="F939" s="3">
        <v>61292.27</v>
      </c>
      <c r="G939" s="3">
        <v>0</v>
      </c>
      <c r="H939" s="342">
        <v>0</v>
      </c>
      <c r="I939" s="335"/>
    </row>
    <row r="940" spans="1:9" x14ac:dyDescent="0.25">
      <c r="A940" s="341" t="s">
        <v>1431</v>
      </c>
      <c r="B940" s="335"/>
      <c r="C940" s="2" t="s">
        <v>1432</v>
      </c>
      <c r="D940" s="3">
        <v>0</v>
      </c>
      <c r="E940" s="3">
        <v>0</v>
      </c>
      <c r="F940" s="3">
        <v>0</v>
      </c>
      <c r="G940" s="3">
        <v>0</v>
      </c>
      <c r="H940" s="342">
        <v>0</v>
      </c>
      <c r="I940" s="335"/>
    </row>
    <row r="941" spans="1:9" x14ac:dyDescent="0.25">
      <c r="A941" s="341" t="s">
        <v>1433</v>
      </c>
      <c r="B941" s="335"/>
      <c r="C941" s="2" t="s">
        <v>1434</v>
      </c>
      <c r="D941" s="3">
        <v>0</v>
      </c>
      <c r="E941" s="3">
        <v>0</v>
      </c>
      <c r="F941" s="3">
        <v>24600.38</v>
      </c>
      <c r="G941" s="3">
        <v>16929.77</v>
      </c>
      <c r="H941" s="342">
        <v>0</v>
      </c>
      <c r="I941" s="335"/>
    </row>
    <row r="942" spans="1:9" x14ac:dyDescent="0.25">
      <c r="A942" s="341" t="s">
        <v>1435</v>
      </c>
      <c r="B942" s="335"/>
      <c r="C942" s="2" t="s">
        <v>1436</v>
      </c>
      <c r="D942" s="3">
        <v>0</v>
      </c>
      <c r="E942" s="3">
        <v>90318.42</v>
      </c>
      <c r="F942" s="3">
        <v>766.26</v>
      </c>
      <c r="G942" s="3">
        <v>1057.04</v>
      </c>
      <c r="H942" s="342">
        <v>0</v>
      </c>
      <c r="I942" s="335"/>
    </row>
    <row r="943" spans="1:9" x14ac:dyDescent="0.25">
      <c r="A943" s="341" t="s">
        <v>1437</v>
      </c>
      <c r="B943" s="335"/>
      <c r="C943" s="2" t="s">
        <v>1438</v>
      </c>
      <c r="D943" s="3">
        <v>0</v>
      </c>
      <c r="E943" s="3">
        <v>0</v>
      </c>
      <c r="F943" s="3">
        <v>0</v>
      </c>
      <c r="G943" s="3">
        <v>13223.05</v>
      </c>
      <c r="H943" s="342">
        <v>0</v>
      </c>
      <c r="I943" s="335"/>
    </row>
    <row r="944" spans="1:9" x14ac:dyDescent="0.25">
      <c r="A944" s="341" t="s">
        <v>3240</v>
      </c>
      <c r="B944" s="335"/>
      <c r="C944" s="2" t="s">
        <v>3239</v>
      </c>
      <c r="D944" s="3">
        <v>163.61000000000001</v>
      </c>
      <c r="E944" s="3">
        <v>0</v>
      </c>
      <c r="F944" s="3">
        <v>0</v>
      </c>
      <c r="G944" s="3">
        <v>0</v>
      </c>
      <c r="H944" s="342">
        <v>0</v>
      </c>
      <c r="I944" s="335"/>
    </row>
    <row r="945" spans="1:9" ht="24" x14ac:dyDescent="0.25">
      <c r="A945" s="341" t="s">
        <v>1439</v>
      </c>
      <c r="B945" s="335"/>
      <c r="C945" s="2" t="s">
        <v>1440</v>
      </c>
      <c r="D945" s="3">
        <v>397626</v>
      </c>
      <c r="E945" s="3">
        <v>620514.68999999994</v>
      </c>
      <c r="F945" s="3">
        <v>373517.74</v>
      </c>
      <c r="G945" s="3">
        <v>40614</v>
      </c>
      <c r="H945" s="342">
        <v>0</v>
      </c>
      <c r="I945" s="335"/>
    </row>
    <row r="946" spans="1:9" x14ac:dyDescent="0.25">
      <c r="A946" s="341" t="s">
        <v>1441</v>
      </c>
      <c r="B946" s="335"/>
      <c r="C946" s="2" t="s">
        <v>1023</v>
      </c>
      <c r="D946" s="3">
        <v>0</v>
      </c>
      <c r="E946" s="3">
        <v>0</v>
      </c>
      <c r="F946" s="3">
        <v>0</v>
      </c>
      <c r="G946" s="3">
        <v>0</v>
      </c>
      <c r="H946" s="342">
        <v>0</v>
      </c>
      <c r="I946" s="335"/>
    </row>
    <row r="947" spans="1:9" x14ac:dyDescent="0.25">
      <c r="A947" s="341" t="s">
        <v>1442</v>
      </c>
      <c r="B947" s="335"/>
      <c r="C947" s="2" t="s">
        <v>1027</v>
      </c>
      <c r="D947" s="3">
        <v>0</v>
      </c>
      <c r="E947" s="3">
        <v>0</v>
      </c>
      <c r="F947" s="3">
        <v>0</v>
      </c>
      <c r="G947" s="3">
        <v>0</v>
      </c>
      <c r="H947" s="342">
        <v>0</v>
      </c>
      <c r="I947" s="335"/>
    </row>
    <row r="948" spans="1:9" x14ac:dyDescent="0.25">
      <c r="A948" s="341" t="s">
        <v>1443</v>
      </c>
      <c r="B948" s="335"/>
      <c r="C948" s="2" t="s">
        <v>1029</v>
      </c>
      <c r="D948" s="3">
        <v>0</v>
      </c>
      <c r="E948" s="3">
        <v>0</v>
      </c>
      <c r="F948" s="3">
        <v>0</v>
      </c>
      <c r="G948" s="3">
        <v>0</v>
      </c>
      <c r="H948" s="342">
        <v>0</v>
      </c>
      <c r="I948" s="335"/>
    </row>
    <row r="949" spans="1:9" x14ac:dyDescent="0.25">
      <c r="A949" s="341" t="s">
        <v>1444</v>
      </c>
      <c r="B949" s="335"/>
      <c r="C949" s="2" t="s">
        <v>1031</v>
      </c>
      <c r="D949" s="3">
        <v>0</v>
      </c>
      <c r="E949" s="3">
        <v>0</v>
      </c>
      <c r="F949" s="3">
        <v>0</v>
      </c>
      <c r="G949" s="3">
        <v>0</v>
      </c>
      <c r="H949" s="342">
        <v>0</v>
      </c>
      <c r="I949" s="335"/>
    </row>
    <row r="950" spans="1:9" x14ac:dyDescent="0.25">
      <c r="A950" s="341" t="s">
        <v>1445</v>
      </c>
      <c r="B950" s="335"/>
      <c r="C950" s="2" t="s">
        <v>1033</v>
      </c>
      <c r="D950" s="3">
        <v>0</v>
      </c>
      <c r="E950" s="3">
        <v>0</v>
      </c>
      <c r="F950" s="3">
        <v>0</v>
      </c>
      <c r="G950" s="3">
        <v>0</v>
      </c>
      <c r="H950" s="342">
        <v>0</v>
      </c>
      <c r="I950" s="335"/>
    </row>
    <row r="951" spans="1:9" ht="24" x14ac:dyDescent="0.25">
      <c r="A951" s="341" t="s">
        <v>1446</v>
      </c>
      <c r="B951" s="335"/>
      <c r="C951" s="2" t="s">
        <v>1035</v>
      </c>
      <c r="D951" s="3">
        <v>0</v>
      </c>
      <c r="E951" s="3">
        <v>0</v>
      </c>
      <c r="F951" s="3">
        <v>0</v>
      </c>
      <c r="G951" s="3">
        <v>0</v>
      </c>
      <c r="H951" s="342">
        <v>0</v>
      </c>
      <c r="I951" s="335"/>
    </row>
    <row r="952" spans="1:9" x14ac:dyDescent="0.25">
      <c r="A952" s="341" t="s">
        <v>1447</v>
      </c>
      <c r="B952" s="335"/>
      <c r="C952" s="2" t="s">
        <v>1037</v>
      </c>
      <c r="D952" s="3">
        <v>0</v>
      </c>
      <c r="E952" s="3">
        <v>0</v>
      </c>
      <c r="F952" s="3">
        <v>0</v>
      </c>
      <c r="G952" s="3">
        <v>0</v>
      </c>
      <c r="H952" s="342">
        <v>0</v>
      </c>
      <c r="I952" s="335"/>
    </row>
    <row r="953" spans="1:9" x14ac:dyDescent="0.25">
      <c r="A953" s="341" t="s">
        <v>1448</v>
      </c>
      <c r="B953" s="335"/>
      <c r="C953" s="2" t="s">
        <v>1007</v>
      </c>
      <c r="D953" s="3">
        <v>0</v>
      </c>
      <c r="E953" s="3">
        <v>20959.52</v>
      </c>
      <c r="F953" s="3">
        <v>0</v>
      </c>
      <c r="G953" s="3">
        <v>0</v>
      </c>
      <c r="H953" s="342">
        <v>0</v>
      </c>
      <c r="I953" s="335"/>
    </row>
    <row r="954" spans="1:9" ht="24" x14ac:dyDescent="0.25">
      <c r="A954" s="341" t="s">
        <v>1449</v>
      </c>
      <c r="B954" s="335"/>
      <c r="C954" s="2" t="s">
        <v>1009</v>
      </c>
      <c r="D954" s="3">
        <v>0</v>
      </c>
      <c r="E954" s="3">
        <v>21305.74</v>
      </c>
      <c r="F954" s="3">
        <v>23850.65</v>
      </c>
      <c r="G954" s="3">
        <v>0</v>
      </c>
      <c r="H954" s="342">
        <v>0</v>
      </c>
      <c r="I954" s="335"/>
    </row>
    <row r="955" spans="1:9" ht="24" x14ac:dyDescent="0.25">
      <c r="A955" s="341" t="s">
        <v>1450</v>
      </c>
      <c r="B955" s="335"/>
      <c r="C955" s="2" t="s">
        <v>1011</v>
      </c>
      <c r="D955" s="3">
        <v>0</v>
      </c>
      <c r="E955" s="3">
        <v>21250</v>
      </c>
      <c r="F955" s="3">
        <v>0</v>
      </c>
      <c r="G955" s="3">
        <v>0</v>
      </c>
      <c r="H955" s="342">
        <v>0</v>
      </c>
      <c r="I955" s="335"/>
    </row>
    <row r="956" spans="1:9" x14ac:dyDescent="0.25">
      <c r="A956" s="341" t="s">
        <v>1451</v>
      </c>
      <c r="B956" s="335"/>
      <c r="C956" s="2" t="s">
        <v>1013</v>
      </c>
      <c r="D956" s="3">
        <v>0</v>
      </c>
      <c r="E956" s="3">
        <v>0</v>
      </c>
      <c r="F956" s="3">
        <v>35286.080000000002</v>
      </c>
      <c r="G956" s="3">
        <v>0</v>
      </c>
      <c r="H956" s="342">
        <v>0</v>
      </c>
      <c r="I956" s="335"/>
    </row>
    <row r="957" spans="1:9" x14ac:dyDescent="0.25">
      <c r="A957" s="341" t="s">
        <v>1452</v>
      </c>
      <c r="B957" s="335"/>
      <c r="C957" s="2" t="s">
        <v>1015</v>
      </c>
      <c r="D957" s="3">
        <v>0</v>
      </c>
      <c r="E957" s="3">
        <v>0</v>
      </c>
      <c r="F957" s="3">
        <v>8581.1200000000008</v>
      </c>
      <c r="G957" s="3">
        <v>0</v>
      </c>
      <c r="H957" s="342">
        <v>0</v>
      </c>
      <c r="I957" s="335"/>
    </row>
    <row r="958" spans="1:9" x14ac:dyDescent="0.25">
      <c r="A958" s="341" t="s">
        <v>1453</v>
      </c>
      <c r="B958" s="335"/>
      <c r="C958" s="2" t="s">
        <v>1017</v>
      </c>
      <c r="D958" s="3">
        <v>0</v>
      </c>
      <c r="E958" s="3">
        <v>0</v>
      </c>
      <c r="F958" s="3">
        <v>0</v>
      </c>
      <c r="G958" s="3">
        <v>0</v>
      </c>
      <c r="H958" s="342">
        <v>0</v>
      </c>
      <c r="I958" s="335"/>
    </row>
    <row r="959" spans="1:9" x14ac:dyDescent="0.25">
      <c r="A959" s="341" t="s">
        <v>1454</v>
      </c>
      <c r="B959" s="335"/>
      <c r="C959" s="2" t="s">
        <v>1455</v>
      </c>
      <c r="D959" s="3">
        <v>0</v>
      </c>
      <c r="E959" s="3">
        <v>0</v>
      </c>
      <c r="F959" s="3">
        <v>0</v>
      </c>
      <c r="G959" s="3">
        <v>0</v>
      </c>
      <c r="H959" s="342">
        <v>0</v>
      </c>
      <c r="I959" s="335"/>
    </row>
    <row r="960" spans="1:9" x14ac:dyDescent="0.25">
      <c r="A960" s="341" t="s">
        <v>1456</v>
      </c>
      <c r="B960" s="335"/>
      <c r="C960" s="2" t="s">
        <v>1457</v>
      </c>
      <c r="D960" s="3">
        <v>84625</v>
      </c>
      <c r="E960" s="3">
        <v>79881.87</v>
      </c>
      <c r="F960" s="3">
        <v>74500</v>
      </c>
      <c r="G960" s="3">
        <v>71625</v>
      </c>
      <c r="H960" s="342">
        <v>0</v>
      </c>
      <c r="I960" s="335"/>
    </row>
    <row r="961" spans="1:9" ht="24" x14ac:dyDescent="0.25">
      <c r="A961" s="341" t="s">
        <v>1458</v>
      </c>
      <c r="B961" s="335"/>
      <c r="C961" s="2" t="s">
        <v>1459</v>
      </c>
      <c r="D961" s="3">
        <v>13354.72</v>
      </c>
      <c r="E961" s="3">
        <v>10460.719999999999</v>
      </c>
      <c r="F961" s="3">
        <v>13329.77</v>
      </c>
      <c r="G961" s="3">
        <v>81056.89</v>
      </c>
      <c r="H961" s="342">
        <v>0</v>
      </c>
      <c r="I961" s="335"/>
    </row>
    <row r="962" spans="1:9" x14ac:dyDescent="0.25">
      <c r="A962" s="341" t="s">
        <v>3238</v>
      </c>
      <c r="B962" s="335"/>
      <c r="C962" s="2" t="s">
        <v>3237</v>
      </c>
      <c r="D962" s="3">
        <v>22500</v>
      </c>
      <c r="E962" s="3">
        <v>0</v>
      </c>
      <c r="F962" s="3">
        <v>0</v>
      </c>
      <c r="G962" s="3">
        <v>0</v>
      </c>
      <c r="H962" s="342">
        <v>0</v>
      </c>
      <c r="I962" s="335"/>
    </row>
    <row r="963" spans="1:9" ht="24" x14ac:dyDescent="0.25">
      <c r="A963" s="341" t="s">
        <v>1460</v>
      </c>
      <c r="B963" s="335"/>
      <c r="C963" s="2" t="s">
        <v>1461</v>
      </c>
      <c r="D963" s="3">
        <v>0</v>
      </c>
      <c r="E963" s="3">
        <v>0</v>
      </c>
      <c r="F963" s="3">
        <v>460114.8</v>
      </c>
      <c r="G963" s="3">
        <v>230208</v>
      </c>
      <c r="H963" s="342">
        <v>0</v>
      </c>
      <c r="I963" s="335"/>
    </row>
    <row r="964" spans="1:9" x14ac:dyDescent="0.25">
      <c r="A964" s="341" t="s">
        <v>1462</v>
      </c>
      <c r="B964" s="335"/>
      <c r="C964" s="2" t="s">
        <v>700</v>
      </c>
      <c r="D964" s="3">
        <v>2018.64</v>
      </c>
      <c r="E964" s="3">
        <v>2192.94</v>
      </c>
      <c r="F964" s="3">
        <v>743.13</v>
      </c>
      <c r="G964" s="3">
        <v>4121.93</v>
      </c>
      <c r="H964" s="342">
        <v>0</v>
      </c>
      <c r="I964" s="335"/>
    </row>
    <row r="965" spans="1:9" x14ac:dyDescent="0.25">
      <c r="A965" s="341" t="s">
        <v>1463</v>
      </c>
      <c r="B965" s="335"/>
      <c r="C965" s="2" t="s">
        <v>704</v>
      </c>
      <c r="D965" s="3">
        <v>0</v>
      </c>
      <c r="E965" s="3">
        <v>0</v>
      </c>
      <c r="F965" s="3">
        <v>4088.79</v>
      </c>
      <c r="G965" s="3">
        <v>0</v>
      </c>
      <c r="H965" s="342">
        <v>0</v>
      </c>
      <c r="I965" s="335"/>
    </row>
    <row r="966" spans="1:9" x14ac:dyDescent="0.25">
      <c r="A966" s="340" t="s">
        <v>3236</v>
      </c>
      <c r="B966" s="335"/>
      <c r="C966" s="1" t="s">
        <v>2</v>
      </c>
    </row>
    <row r="967" spans="1:9" x14ac:dyDescent="0.25">
      <c r="A967" s="341" t="s">
        <v>3235</v>
      </c>
      <c r="B967" s="335"/>
      <c r="C967" s="2" t="s">
        <v>1642</v>
      </c>
      <c r="D967" s="3">
        <v>31114.22</v>
      </c>
      <c r="E967" s="3">
        <v>0</v>
      </c>
      <c r="F967" s="3">
        <v>0</v>
      </c>
      <c r="G967" s="3">
        <v>0</v>
      </c>
      <c r="H967" s="342">
        <v>0</v>
      </c>
      <c r="I967" s="335"/>
    </row>
    <row r="968" spans="1:9" x14ac:dyDescent="0.25">
      <c r="A968" s="340" t="s">
        <v>3234</v>
      </c>
      <c r="B968" s="335"/>
      <c r="C968" s="1" t="s">
        <v>2</v>
      </c>
      <c r="D968" s="4">
        <v>31114.22</v>
      </c>
      <c r="E968" s="4">
        <v>0</v>
      </c>
      <c r="F968" s="4">
        <v>0</v>
      </c>
      <c r="G968" s="4">
        <v>0</v>
      </c>
      <c r="H968" s="343">
        <v>0</v>
      </c>
      <c r="I968" s="335"/>
    </row>
    <row r="969" spans="1:9" x14ac:dyDescent="0.25">
      <c r="A969" s="340" t="s">
        <v>2</v>
      </c>
      <c r="B969" s="335"/>
      <c r="C969" s="1" t="s">
        <v>2</v>
      </c>
      <c r="D969" s="1" t="s">
        <v>2</v>
      </c>
      <c r="E969" s="1" t="s">
        <v>2</v>
      </c>
      <c r="F969" s="1" t="s">
        <v>2</v>
      </c>
      <c r="G969" s="1" t="s">
        <v>2</v>
      </c>
      <c r="H969" s="340" t="s">
        <v>2</v>
      </c>
      <c r="I969" s="335"/>
    </row>
    <row r="970" spans="1:9" ht="24" x14ac:dyDescent="0.25">
      <c r="A970" s="341" t="s">
        <v>1464</v>
      </c>
      <c r="B970" s="335"/>
      <c r="C970" s="2" t="s">
        <v>1465</v>
      </c>
      <c r="D970" s="3">
        <v>0</v>
      </c>
      <c r="E970" s="3">
        <v>38921</v>
      </c>
      <c r="F970" s="3">
        <v>0</v>
      </c>
      <c r="G970" s="3">
        <v>0</v>
      </c>
      <c r="H970" s="342">
        <v>0</v>
      </c>
      <c r="I970" s="335"/>
    </row>
    <row r="971" spans="1:9" x14ac:dyDescent="0.25">
      <c r="A971" s="340" t="s">
        <v>1466</v>
      </c>
      <c r="B971" s="335"/>
      <c r="C971" s="1" t="s">
        <v>2</v>
      </c>
      <c r="D971" s="4">
        <v>3248925.94</v>
      </c>
      <c r="E971" s="4">
        <v>3484934.94</v>
      </c>
      <c r="F971" s="4">
        <v>3489754.88</v>
      </c>
      <c r="G971" s="49">
        <v>2392561.1800000002</v>
      </c>
      <c r="H971" s="343">
        <v>0</v>
      </c>
      <c r="I971" s="335"/>
    </row>
    <row r="972" spans="1:9" x14ac:dyDescent="0.25">
      <c r="A972" s="340" t="s">
        <v>2</v>
      </c>
      <c r="B972" s="335"/>
      <c r="C972" s="1" t="s">
        <v>2</v>
      </c>
      <c r="D972" s="1" t="s">
        <v>2</v>
      </c>
      <c r="E972" s="1" t="s">
        <v>2</v>
      </c>
      <c r="F972" s="1" t="s">
        <v>2</v>
      </c>
      <c r="G972" s="1" t="s">
        <v>2</v>
      </c>
      <c r="H972" s="340" t="s">
        <v>2</v>
      </c>
      <c r="I972" s="335"/>
    </row>
    <row r="973" spans="1:9" x14ac:dyDescent="0.25">
      <c r="A973" s="340" t="s">
        <v>1467</v>
      </c>
      <c r="B973" s="335"/>
      <c r="C973" s="1" t="s">
        <v>2</v>
      </c>
    </row>
    <row r="974" spans="1:9" x14ac:dyDescent="0.25">
      <c r="A974" s="341" t="s">
        <v>1468</v>
      </c>
      <c r="B974" s="335"/>
      <c r="C974" s="2" t="s">
        <v>108</v>
      </c>
      <c r="D974" s="3">
        <v>41755.25</v>
      </c>
      <c r="E974" s="3">
        <v>40377.67</v>
      </c>
      <c r="F974" s="3">
        <v>44167.61</v>
      </c>
      <c r="G974" s="3">
        <v>35030.21</v>
      </c>
      <c r="H974" s="342">
        <v>0</v>
      </c>
      <c r="I974" s="335"/>
    </row>
    <row r="975" spans="1:9" x14ac:dyDescent="0.25">
      <c r="A975" s="341" t="s">
        <v>1469</v>
      </c>
      <c r="B975" s="335"/>
      <c r="C975" s="2" t="s">
        <v>652</v>
      </c>
      <c r="D975" s="3">
        <v>70061.64</v>
      </c>
      <c r="E975" s="3">
        <v>77441.149999999994</v>
      </c>
      <c r="F975" s="3">
        <v>83482.17</v>
      </c>
      <c r="G975" s="3">
        <v>68353.929999999993</v>
      </c>
      <c r="H975" s="342">
        <v>0</v>
      </c>
      <c r="I975" s="335"/>
    </row>
    <row r="976" spans="1:9" x14ac:dyDescent="0.25">
      <c r="A976" s="341" t="s">
        <v>1470</v>
      </c>
      <c r="B976" s="335"/>
      <c r="C976" s="2" t="s">
        <v>29</v>
      </c>
      <c r="D976" s="3">
        <v>31752.84</v>
      </c>
      <c r="E976" s="3">
        <v>31808.74</v>
      </c>
      <c r="F976" s="3">
        <v>34496.300000000003</v>
      </c>
      <c r="G976" s="3">
        <v>29851.65</v>
      </c>
      <c r="H976" s="342">
        <v>0</v>
      </c>
      <c r="I976" s="335"/>
    </row>
    <row r="977" spans="1:9" x14ac:dyDescent="0.25">
      <c r="A977" s="341" t="s">
        <v>1471</v>
      </c>
      <c r="B977" s="335"/>
      <c r="C977" s="2" t="s">
        <v>128</v>
      </c>
      <c r="D977" s="3">
        <v>1207.21</v>
      </c>
      <c r="E977" s="3">
        <v>1098.55</v>
      </c>
      <c r="F977" s="3">
        <v>1137.44</v>
      </c>
      <c r="G977" s="3">
        <v>746.9</v>
      </c>
      <c r="H977" s="342">
        <v>0</v>
      </c>
      <c r="I977" s="335"/>
    </row>
    <row r="978" spans="1:9" x14ac:dyDescent="0.25">
      <c r="A978" s="341" t="s">
        <v>1472</v>
      </c>
      <c r="B978" s="335"/>
      <c r="C978" s="2" t="s">
        <v>33</v>
      </c>
      <c r="D978" s="3">
        <v>16432.41</v>
      </c>
      <c r="E978" s="3">
        <v>16870.09</v>
      </c>
      <c r="F978" s="3">
        <v>17162.46</v>
      </c>
      <c r="G978" s="3">
        <v>12379.75</v>
      </c>
      <c r="H978" s="342">
        <v>0</v>
      </c>
      <c r="I978" s="335"/>
    </row>
    <row r="979" spans="1:9" x14ac:dyDescent="0.25">
      <c r="A979" s="341" t="s">
        <v>1473</v>
      </c>
      <c r="B979" s="335"/>
      <c r="C979" s="2" t="s">
        <v>11</v>
      </c>
      <c r="D979" s="3">
        <v>8416.85</v>
      </c>
      <c r="E979" s="3">
        <v>8877.66</v>
      </c>
      <c r="F979" s="3">
        <v>9621.1299999999992</v>
      </c>
      <c r="G979" s="3">
        <v>7790.96</v>
      </c>
      <c r="H979" s="342">
        <v>0</v>
      </c>
      <c r="I979" s="335"/>
    </row>
    <row r="980" spans="1:9" x14ac:dyDescent="0.25">
      <c r="A980" s="341" t="s">
        <v>1474</v>
      </c>
      <c r="B980" s="335"/>
      <c r="C980" s="2" t="s">
        <v>13</v>
      </c>
      <c r="D980" s="3">
        <v>135.19</v>
      </c>
      <c r="E980" s="3">
        <v>171.95</v>
      </c>
      <c r="F980" s="3">
        <v>187.17</v>
      </c>
      <c r="G980" s="3">
        <v>219.78</v>
      </c>
      <c r="H980" s="342">
        <v>0</v>
      </c>
      <c r="I980" s="335"/>
    </row>
    <row r="981" spans="1:9" x14ac:dyDescent="0.25">
      <c r="A981" s="341" t="s">
        <v>1475</v>
      </c>
      <c r="B981" s="335"/>
      <c r="C981" s="2" t="s">
        <v>286</v>
      </c>
      <c r="D981" s="3">
        <v>74.150000000000006</v>
      </c>
      <c r="E981" s="3">
        <v>187.04</v>
      </c>
      <c r="F981" s="3">
        <v>84.5</v>
      </c>
      <c r="G981" s="3">
        <v>0</v>
      </c>
      <c r="H981" s="342">
        <v>0</v>
      </c>
      <c r="I981" s="335"/>
    </row>
    <row r="982" spans="1:9" x14ac:dyDescent="0.25">
      <c r="A982" s="341" t="s">
        <v>1476</v>
      </c>
      <c r="B982" s="335"/>
      <c r="C982" s="2" t="s">
        <v>37</v>
      </c>
      <c r="D982" s="3">
        <v>716.29</v>
      </c>
      <c r="E982" s="3">
        <v>377.02</v>
      </c>
      <c r="F982" s="3">
        <v>429</v>
      </c>
      <c r="G982" s="3">
        <v>648.76</v>
      </c>
      <c r="H982" s="342">
        <v>0</v>
      </c>
      <c r="I982" s="335"/>
    </row>
    <row r="983" spans="1:9" x14ac:dyDescent="0.25">
      <c r="A983" s="341" t="s">
        <v>1477</v>
      </c>
      <c r="B983" s="335"/>
      <c r="C983" s="2" t="s">
        <v>39</v>
      </c>
      <c r="D983" s="3">
        <v>285.38</v>
      </c>
      <c r="E983" s="3">
        <v>47.54</v>
      </c>
      <c r="F983" s="3">
        <v>0</v>
      </c>
      <c r="G983" s="3">
        <v>0</v>
      </c>
      <c r="H983" s="342">
        <v>0</v>
      </c>
      <c r="I983" s="335"/>
    </row>
    <row r="984" spans="1:9" x14ac:dyDescent="0.25">
      <c r="A984" s="341" t="s">
        <v>1478</v>
      </c>
      <c r="B984" s="335"/>
      <c r="C984" s="2" t="s">
        <v>907</v>
      </c>
      <c r="D984" s="3">
        <v>121583.14</v>
      </c>
      <c r="E984" s="3">
        <v>84306.7</v>
      </c>
      <c r="F984" s="3">
        <v>117287.42</v>
      </c>
      <c r="G984" s="3">
        <v>84306.7</v>
      </c>
      <c r="H984" s="342">
        <v>0</v>
      </c>
      <c r="I984" s="335"/>
    </row>
    <row r="985" spans="1:9" ht="24" x14ac:dyDescent="0.25">
      <c r="A985" s="341" t="s">
        <v>1479</v>
      </c>
      <c r="B985" s="335"/>
      <c r="C985" s="2" t="s">
        <v>598</v>
      </c>
      <c r="D985" s="3">
        <v>55752.68</v>
      </c>
      <c r="E985" s="3">
        <v>43389.64</v>
      </c>
      <c r="F985" s="3">
        <v>61839.34</v>
      </c>
      <c r="G985" s="3">
        <v>43389.64</v>
      </c>
      <c r="H985" s="342">
        <v>0</v>
      </c>
      <c r="I985" s="335"/>
    </row>
    <row r="986" spans="1:9" ht="24" x14ac:dyDescent="0.25">
      <c r="A986" s="341" t="s">
        <v>1480</v>
      </c>
      <c r="B986" s="335"/>
      <c r="C986" s="2" t="s">
        <v>15</v>
      </c>
      <c r="D986" s="3">
        <v>9324.5300000000007</v>
      </c>
      <c r="E986" s="3">
        <v>9072.8700000000008</v>
      </c>
      <c r="F986" s="3">
        <v>25133.3</v>
      </c>
      <c r="G986" s="3">
        <v>9072.8700000000008</v>
      </c>
      <c r="H986" s="342">
        <v>0</v>
      </c>
      <c r="I986" s="335"/>
    </row>
    <row r="987" spans="1:9" ht="24" x14ac:dyDescent="0.25">
      <c r="A987" s="341" t="s">
        <v>1481</v>
      </c>
      <c r="B987" s="335"/>
      <c r="C987" s="2" t="s">
        <v>1482</v>
      </c>
      <c r="D987" s="3">
        <v>44215.25</v>
      </c>
      <c r="E987" s="3">
        <v>6036.91</v>
      </c>
      <c r="F987" s="3">
        <v>1665</v>
      </c>
      <c r="G987" s="3">
        <v>10922.8</v>
      </c>
      <c r="H987" s="342">
        <v>0</v>
      </c>
      <c r="I987" s="335"/>
    </row>
    <row r="988" spans="1:9" x14ac:dyDescent="0.25">
      <c r="A988" s="341" t="s">
        <v>1483</v>
      </c>
      <c r="B988" s="335"/>
      <c r="C988" s="2" t="s">
        <v>1484</v>
      </c>
      <c r="D988" s="3">
        <v>19918.240000000002</v>
      </c>
      <c r="E988" s="3">
        <v>20594.919999999998</v>
      </c>
      <c r="F988" s="3">
        <v>34098.04</v>
      </c>
      <c r="G988" s="3">
        <v>26913.26</v>
      </c>
      <c r="H988" s="342">
        <v>0</v>
      </c>
      <c r="I988" s="335"/>
    </row>
    <row r="989" spans="1:9" x14ac:dyDescent="0.25">
      <c r="A989" s="341" t="s">
        <v>1485</v>
      </c>
      <c r="B989" s="335"/>
      <c r="C989" s="2" t="s">
        <v>59</v>
      </c>
      <c r="D989" s="3">
        <v>2794.51</v>
      </c>
      <c r="E989" s="3">
        <v>354.12</v>
      </c>
      <c r="F989" s="3">
        <v>258.07</v>
      </c>
      <c r="G989" s="3">
        <v>456.03</v>
      </c>
      <c r="H989" s="342">
        <v>0</v>
      </c>
      <c r="I989" s="335"/>
    </row>
    <row r="990" spans="1:9" x14ac:dyDescent="0.25">
      <c r="A990" s="341" t="s">
        <v>1486</v>
      </c>
      <c r="B990" s="335"/>
      <c r="C990" s="2" t="s">
        <v>99</v>
      </c>
      <c r="D990" s="3">
        <v>4218.13</v>
      </c>
      <c r="E990" s="3">
        <v>5231.0200000000004</v>
      </c>
      <c r="F990" s="3">
        <v>6255.51</v>
      </c>
      <c r="G990" s="3">
        <v>4211.0600000000004</v>
      </c>
      <c r="H990" s="342">
        <v>0</v>
      </c>
      <c r="I990" s="335"/>
    </row>
    <row r="991" spans="1:9" x14ac:dyDescent="0.25">
      <c r="A991" s="341" t="s">
        <v>1487</v>
      </c>
      <c r="B991" s="335"/>
      <c r="C991" s="2" t="s">
        <v>17</v>
      </c>
      <c r="D991" s="3">
        <v>728.4</v>
      </c>
      <c r="E991" s="3">
        <v>0</v>
      </c>
      <c r="F991" s="3">
        <v>0</v>
      </c>
      <c r="G991" s="3">
        <v>0</v>
      </c>
      <c r="H991" s="342">
        <v>0</v>
      </c>
      <c r="I991" s="335"/>
    </row>
    <row r="992" spans="1:9" x14ac:dyDescent="0.25">
      <c r="A992" s="341" t="s">
        <v>1488</v>
      </c>
      <c r="B992" s="335"/>
      <c r="C992" s="2" t="s">
        <v>144</v>
      </c>
      <c r="D992" s="3">
        <v>1326.85</v>
      </c>
      <c r="E992" s="3">
        <v>166.3</v>
      </c>
      <c r="F992" s="3">
        <v>84.79</v>
      </c>
      <c r="G992" s="3">
        <v>0</v>
      </c>
      <c r="H992" s="342">
        <v>0</v>
      </c>
      <c r="I992" s="335"/>
    </row>
    <row r="993" spans="1:9" x14ac:dyDescent="0.25">
      <c r="A993" s="341" t="s">
        <v>1489</v>
      </c>
      <c r="B993" s="335"/>
      <c r="C993" s="2" t="s">
        <v>917</v>
      </c>
      <c r="D993" s="3">
        <v>1459.98</v>
      </c>
      <c r="E993" s="3">
        <v>1022.55</v>
      </c>
      <c r="F993" s="3">
        <v>968.39</v>
      </c>
      <c r="G993" s="3">
        <v>726.66</v>
      </c>
      <c r="H993" s="342">
        <v>0</v>
      </c>
      <c r="I993" s="335"/>
    </row>
    <row r="994" spans="1:9" x14ac:dyDescent="0.25">
      <c r="A994" s="341" t="s">
        <v>1490</v>
      </c>
      <c r="B994" s="335"/>
      <c r="C994" s="2" t="s">
        <v>62</v>
      </c>
      <c r="D994" s="3">
        <v>902.08</v>
      </c>
      <c r="E994" s="3">
        <v>741.47</v>
      </c>
      <c r="F994" s="3">
        <v>635.59</v>
      </c>
      <c r="G994" s="3">
        <v>454.94</v>
      </c>
      <c r="H994" s="342">
        <v>0</v>
      </c>
      <c r="I994" s="335"/>
    </row>
    <row r="995" spans="1:9" x14ac:dyDescent="0.25">
      <c r="A995" s="341" t="s">
        <v>1491</v>
      </c>
      <c r="B995" s="335"/>
      <c r="C995" s="2" t="s">
        <v>1492</v>
      </c>
      <c r="D995" s="3">
        <v>390.58</v>
      </c>
      <c r="E995" s="3">
        <v>403.38</v>
      </c>
      <c r="F995" s="3">
        <v>2619.62</v>
      </c>
      <c r="G995" s="3">
        <v>48.72</v>
      </c>
      <c r="H995" s="342">
        <v>0</v>
      </c>
      <c r="I995" s="335"/>
    </row>
    <row r="996" spans="1:9" ht="24" x14ac:dyDescent="0.25">
      <c r="A996" s="341" t="s">
        <v>3233</v>
      </c>
      <c r="B996" s="335"/>
      <c r="C996" s="2" t="s">
        <v>3232</v>
      </c>
      <c r="D996" s="3">
        <v>0</v>
      </c>
      <c r="E996" s="3">
        <v>0</v>
      </c>
      <c r="F996" s="3">
        <v>0</v>
      </c>
      <c r="G996" s="3">
        <v>0</v>
      </c>
      <c r="H996" s="342">
        <v>0</v>
      </c>
      <c r="I996" s="335"/>
    </row>
    <row r="997" spans="1:9" x14ac:dyDescent="0.25">
      <c r="A997" s="341" t="s">
        <v>1493</v>
      </c>
      <c r="B997" s="335"/>
      <c r="C997" s="2" t="s">
        <v>1303</v>
      </c>
      <c r="D997" s="3">
        <v>84528.14</v>
      </c>
      <c r="E997" s="3">
        <v>116084.91</v>
      </c>
      <c r="F997" s="3">
        <v>138148.94</v>
      </c>
      <c r="G997" s="3">
        <v>97664.58</v>
      </c>
      <c r="H997" s="342">
        <v>0</v>
      </c>
      <c r="I997" s="335"/>
    </row>
    <row r="998" spans="1:9" x14ac:dyDescent="0.25">
      <c r="A998" s="341" t="s">
        <v>1494</v>
      </c>
      <c r="B998" s="335"/>
      <c r="C998" s="2" t="s">
        <v>1495</v>
      </c>
      <c r="D998" s="3">
        <v>453607.75</v>
      </c>
      <c r="E998" s="3">
        <v>569060.65</v>
      </c>
      <c r="F998" s="3">
        <v>648347.09</v>
      </c>
      <c r="G998" s="3">
        <v>453148.73</v>
      </c>
      <c r="H998" s="342">
        <v>0</v>
      </c>
      <c r="I998" s="335"/>
    </row>
    <row r="999" spans="1:9" x14ac:dyDescent="0.25">
      <c r="A999" s="341" t="s">
        <v>1496</v>
      </c>
      <c r="B999" s="335"/>
      <c r="C999" s="2" t="s">
        <v>108</v>
      </c>
      <c r="D999" s="3">
        <v>133403.22</v>
      </c>
      <c r="E999" s="3">
        <v>164281.79999999999</v>
      </c>
      <c r="F999" s="3">
        <v>175028.05</v>
      </c>
      <c r="G999" s="3">
        <v>145195.57999999999</v>
      </c>
      <c r="H999" s="342">
        <v>0</v>
      </c>
      <c r="I999" s="335"/>
    </row>
    <row r="1000" spans="1:9" x14ac:dyDescent="0.25">
      <c r="A1000" s="341" t="s">
        <v>1497</v>
      </c>
      <c r="B1000" s="335"/>
      <c r="C1000" s="2" t="s">
        <v>786</v>
      </c>
      <c r="D1000" s="3">
        <v>4572.32</v>
      </c>
      <c r="E1000" s="3">
        <v>6727.48</v>
      </c>
      <c r="F1000" s="3">
        <v>6624.39</v>
      </c>
      <c r="G1000" s="3">
        <v>2551.3000000000002</v>
      </c>
      <c r="H1000" s="342">
        <v>0</v>
      </c>
      <c r="I1000" s="335"/>
    </row>
    <row r="1001" spans="1:9" x14ac:dyDescent="0.25">
      <c r="A1001" s="341" t="s">
        <v>1498</v>
      </c>
      <c r="B1001" s="335"/>
      <c r="C1001" s="2" t="s">
        <v>29</v>
      </c>
      <c r="D1001" s="3">
        <v>39950.03</v>
      </c>
      <c r="E1001" s="3">
        <v>48347.85</v>
      </c>
      <c r="F1001" s="3">
        <v>48220.59</v>
      </c>
      <c r="G1001" s="3">
        <v>40385.589999999997</v>
      </c>
      <c r="H1001" s="342">
        <v>0</v>
      </c>
      <c r="I1001" s="335"/>
    </row>
    <row r="1002" spans="1:9" x14ac:dyDescent="0.25">
      <c r="A1002" s="341" t="s">
        <v>1499</v>
      </c>
      <c r="B1002" s="335"/>
      <c r="C1002" s="2" t="s">
        <v>128</v>
      </c>
      <c r="D1002" s="3">
        <v>3220.76</v>
      </c>
      <c r="E1002" s="3">
        <v>3492.02</v>
      </c>
      <c r="F1002" s="3">
        <v>4028.14</v>
      </c>
      <c r="G1002" s="3">
        <v>2673.66</v>
      </c>
      <c r="H1002" s="342">
        <v>0</v>
      </c>
      <c r="I1002" s="335"/>
    </row>
    <row r="1003" spans="1:9" x14ac:dyDescent="0.25">
      <c r="A1003" s="341" t="s">
        <v>1500</v>
      </c>
      <c r="B1003" s="335"/>
      <c r="C1003" s="2" t="s">
        <v>33</v>
      </c>
      <c r="D1003" s="3">
        <v>18693.96</v>
      </c>
      <c r="E1003" s="3">
        <v>22671.66</v>
      </c>
      <c r="F1003" s="3">
        <v>23149.99</v>
      </c>
      <c r="G1003" s="3">
        <v>17469.71</v>
      </c>
      <c r="H1003" s="342">
        <v>0</v>
      </c>
      <c r="I1003" s="335"/>
    </row>
    <row r="1004" spans="1:9" x14ac:dyDescent="0.25">
      <c r="A1004" s="341" t="s">
        <v>1501</v>
      </c>
      <c r="B1004" s="335"/>
      <c r="C1004" s="2" t="s">
        <v>11</v>
      </c>
      <c r="D1004" s="3">
        <v>9921.2900000000009</v>
      </c>
      <c r="E1004" s="3">
        <v>12377.01</v>
      </c>
      <c r="F1004" s="3">
        <v>13194.88</v>
      </c>
      <c r="G1004" s="3">
        <v>10945</v>
      </c>
      <c r="H1004" s="342">
        <v>0</v>
      </c>
      <c r="I1004" s="335"/>
    </row>
    <row r="1005" spans="1:9" x14ac:dyDescent="0.25">
      <c r="A1005" s="341" t="s">
        <v>1502</v>
      </c>
      <c r="B1005" s="335"/>
      <c r="C1005" s="2" t="s">
        <v>85</v>
      </c>
      <c r="D1005" s="3">
        <v>790.97</v>
      </c>
      <c r="E1005" s="3">
        <v>769.92</v>
      </c>
      <c r="F1005" s="3">
        <v>1513.52</v>
      </c>
      <c r="G1005" s="3">
        <v>989.7</v>
      </c>
      <c r="H1005" s="342">
        <v>0</v>
      </c>
      <c r="I1005" s="335"/>
    </row>
    <row r="1006" spans="1:9" x14ac:dyDescent="0.25">
      <c r="A1006" s="341" t="s">
        <v>1503</v>
      </c>
      <c r="B1006" s="335"/>
      <c r="C1006" s="2" t="s">
        <v>13</v>
      </c>
      <c r="D1006" s="3">
        <v>193.11</v>
      </c>
      <c r="E1006" s="3">
        <v>252.29</v>
      </c>
      <c r="F1006" s="3">
        <v>266.74</v>
      </c>
      <c r="G1006" s="3">
        <v>320.06</v>
      </c>
      <c r="H1006" s="342">
        <v>0</v>
      </c>
      <c r="I1006" s="335"/>
    </row>
    <row r="1007" spans="1:9" x14ac:dyDescent="0.25">
      <c r="A1007" s="341" t="s">
        <v>1504</v>
      </c>
      <c r="B1007" s="335"/>
      <c r="C1007" s="2" t="s">
        <v>577</v>
      </c>
      <c r="D1007" s="3">
        <v>118.53</v>
      </c>
      <c r="E1007" s="3">
        <v>142.31</v>
      </c>
      <c r="F1007" s="3">
        <v>142.97999999999999</v>
      </c>
      <c r="G1007" s="3">
        <v>38.25</v>
      </c>
      <c r="H1007" s="342">
        <v>0</v>
      </c>
      <c r="I1007" s="335"/>
    </row>
    <row r="1008" spans="1:9" x14ac:dyDescent="0.25">
      <c r="A1008" s="341" t="s">
        <v>1505</v>
      </c>
      <c r="B1008" s="335"/>
      <c r="C1008" s="2" t="s">
        <v>579</v>
      </c>
      <c r="D1008" s="3">
        <v>657.08</v>
      </c>
      <c r="E1008" s="3">
        <v>971.88</v>
      </c>
      <c r="F1008" s="3">
        <v>838.06</v>
      </c>
      <c r="G1008" s="3">
        <v>295.14999999999998</v>
      </c>
      <c r="H1008" s="342">
        <v>0</v>
      </c>
      <c r="I1008" s="335"/>
    </row>
    <row r="1009" spans="1:9" x14ac:dyDescent="0.25">
      <c r="A1009" s="341" t="s">
        <v>1506</v>
      </c>
      <c r="B1009" s="335"/>
      <c r="C1009" s="2" t="s">
        <v>581</v>
      </c>
      <c r="D1009" s="3">
        <v>346.51</v>
      </c>
      <c r="E1009" s="3">
        <v>507.82</v>
      </c>
      <c r="F1009" s="3">
        <v>500.36</v>
      </c>
      <c r="G1009" s="3">
        <v>192.45</v>
      </c>
      <c r="H1009" s="342">
        <v>0</v>
      </c>
      <c r="I1009" s="335"/>
    </row>
    <row r="1010" spans="1:9" x14ac:dyDescent="0.25">
      <c r="A1010" s="341" t="s">
        <v>1507</v>
      </c>
      <c r="B1010" s="335"/>
      <c r="C1010" s="2" t="s">
        <v>458</v>
      </c>
      <c r="D1010" s="3">
        <v>452.03</v>
      </c>
      <c r="E1010" s="3">
        <v>678.88</v>
      </c>
      <c r="F1010" s="3">
        <v>591.63</v>
      </c>
      <c r="G1010" s="3">
        <v>174.08</v>
      </c>
      <c r="H1010" s="342">
        <v>0</v>
      </c>
      <c r="I1010" s="335"/>
    </row>
    <row r="1011" spans="1:9" x14ac:dyDescent="0.25">
      <c r="A1011" s="341" t="s">
        <v>1508</v>
      </c>
      <c r="B1011" s="335"/>
      <c r="C1011" s="2" t="s">
        <v>585</v>
      </c>
      <c r="D1011" s="3">
        <v>15</v>
      </c>
      <c r="E1011" s="3">
        <v>270</v>
      </c>
      <c r="F1011" s="3">
        <v>300</v>
      </c>
      <c r="G1011" s="3">
        <v>39.33</v>
      </c>
      <c r="H1011" s="342">
        <v>0</v>
      </c>
      <c r="I1011" s="335"/>
    </row>
    <row r="1012" spans="1:9" x14ac:dyDescent="0.25">
      <c r="A1012" s="341" t="s">
        <v>1509</v>
      </c>
      <c r="B1012" s="335"/>
      <c r="C1012" s="2" t="s">
        <v>1510</v>
      </c>
      <c r="D1012" s="3">
        <v>28812.58</v>
      </c>
      <c r="E1012" s="3">
        <v>24965.77</v>
      </c>
      <c r="F1012" s="3">
        <v>54742.64</v>
      </c>
      <c r="G1012" s="3">
        <v>21405.42</v>
      </c>
      <c r="H1012" s="342">
        <v>0</v>
      </c>
      <c r="I1012" s="335"/>
    </row>
    <row r="1013" spans="1:9" x14ac:dyDescent="0.25">
      <c r="A1013" s="341" t="s">
        <v>1511</v>
      </c>
      <c r="B1013" s="335"/>
      <c r="C1013" s="2" t="s">
        <v>905</v>
      </c>
      <c r="D1013" s="3">
        <v>0</v>
      </c>
      <c r="E1013" s="3">
        <v>21.7</v>
      </c>
      <c r="F1013" s="3">
        <v>4691.6400000000003</v>
      </c>
      <c r="G1013" s="3">
        <v>342.48</v>
      </c>
      <c r="H1013" s="342">
        <v>0</v>
      </c>
      <c r="I1013" s="335"/>
    </row>
    <row r="1014" spans="1:9" ht="24" x14ac:dyDescent="0.25">
      <c r="A1014" s="341" t="s">
        <v>1512</v>
      </c>
      <c r="B1014" s="335"/>
      <c r="C1014" s="2" t="s">
        <v>1513</v>
      </c>
      <c r="D1014" s="3">
        <v>1227.19</v>
      </c>
      <c r="E1014" s="3">
        <v>7696.6</v>
      </c>
      <c r="F1014" s="3">
        <v>3645.42</v>
      </c>
      <c r="G1014" s="3">
        <v>6430.32</v>
      </c>
      <c r="H1014" s="342">
        <v>0</v>
      </c>
      <c r="I1014" s="335"/>
    </row>
    <row r="1015" spans="1:9" ht="24" x14ac:dyDescent="0.25">
      <c r="A1015" s="341" t="s">
        <v>1514</v>
      </c>
      <c r="B1015" s="335"/>
      <c r="C1015" s="2" t="s">
        <v>1515</v>
      </c>
      <c r="D1015" s="3">
        <v>0</v>
      </c>
      <c r="E1015" s="3">
        <v>0</v>
      </c>
      <c r="F1015" s="3">
        <v>0</v>
      </c>
      <c r="G1015" s="3">
        <v>22906.61</v>
      </c>
      <c r="H1015" s="342">
        <v>0</v>
      </c>
      <c r="I1015" s="335"/>
    </row>
    <row r="1016" spans="1:9" x14ac:dyDescent="0.25">
      <c r="A1016" s="341" t="s">
        <v>3231</v>
      </c>
      <c r="B1016" s="335"/>
      <c r="C1016" s="2" t="s">
        <v>59</v>
      </c>
      <c r="D1016" s="3">
        <v>27.18</v>
      </c>
      <c r="E1016" s="3">
        <v>0</v>
      </c>
      <c r="F1016" s="3">
        <v>0</v>
      </c>
      <c r="G1016" s="3">
        <v>0</v>
      </c>
      <c r="H1016" s="342">
        <v>0</v>
      </c>
      <c r="I1016" s="335"/>
    </row>
    <row r="1017" spans="1:9" x14ac:dyDescent="0.25">
      <c r="A1017" s="341" t="s">
        <v>1516</v>
      </c>
      <c r="B1017" s="335"/>
      <c r="C1017" s="2" t="s">
        <v>17</v>
      </c>
      <c r="D1017" s="3">
        <v>0</v>
      </c>
      <c r="E1017" s="3">
        <v>0</v>
      </c>
      <c r="F1017" s="3">
        <v>0</v>
      </c>
      <c r="G1017" s="3">
        <v>0</v>
      </c>
      <c r="H1017" s="342">
        <v>0</v>
      </c>
      <c r="I1017" s="335"/>
    </row>
    <row r="1018" spans="1:9" x14ac:dyDescent="0.25">
      <c r="A1018" s="341" t="s">
        <v>1517</v>
      </c>
      <c r="B1018" s="335"/>
      <c r="C1018" s="2" t="s">
        <v>947</v>
      </c>
      <c r="D1018" s="3">
        <v>0</v>
      </c>
      <c r="E1018" s="3">
        <v>0</v>
      </c>
      <c r="F1018" s="3">
        <v>0</v>
      </c>
      <c r="G1018" s="3">
        <v>0</v>
      </c>
      <c r="H1018" s="342">
        <v>0</v>
      </c>
      <c r="I1018" s="335"/>
    </row>
    <row r="1019" spans="1:9" x14ac:dyDescent="0.25">
      <c r="A1019" s="341" t="s">
        <v>1518</v>
      </c>
      <c r="B1019" s="335"/>
      <c r="C1019" s="2" t="s">
        <v>64</v>
      </c>
      <c r="D1019" s="3">
        <v>3090.47</v>
      </c>
      <c r="E1019" s="3">
        <v>1415.84</v>
      </c>
      <c r="F1019" s="3">
        <v>1236.82</v>
      </c>
      <c r="G1019" s="3">
        <v>413.37</v>
      </c>
      <c r="H1019" s="342">
        <v>0</v>
      </c>
      <c r="I1019" s="335"/>
    </row>
    <row r="1020" spans="1:9" x14ac:dyDescent="0.25">
      <c r="A1020" s="341" t="s">
        <v>1519</v>
      </c>
      <c r="B1020" s="335"/>
      <c r="C1020" s="2" t="s">
        <v>956</v>
      </c>
      <c r="D1020" s="3">
        <v>192</v>
      </c>
      <c r="E1020" s="3">
        <v>510.58</v>
      </c>
      <c r="F1020" s="3">
        <v>490</v>
      </c>
      <c r="G1020" s="3">
        <v>0</v>
      </c>
      <c r="H1020" s="342">
        <v>0</v>
      </c>
      <c r="I1020" s="335"/>
    </row>
    <row r="1021" spans="1:9" x14ac:dyDescent="0.25">
      <c r="A1021" s="341" t="s">
        <v>1521</v>
      </c>
      <c r="B1021" s="335"/>
      <c r="C1021" s="2" t="s">
        <v>144</v>
      </c>
      <c r="D1021" s="3">
        <v>0</v>
      </c>
      <c r="E1021" s="3">
        <v>0</v>
      </c>
      <c r="F1021" s="3">
        <v>0</v>
      </c>
      <c r="G1021" s="3">
        <v>0</v>
      </c>
      <c r="H1021" s="342">
        <v>0</v>
      </c>
      <c r="I1021" s="335"/>
    </row>
    <row r="1022" spans="1:9" x14ac:dyDescent="0.25">
      <c r="A1022" s="341" t="s">
        <v>1522</v>
      </c>
      <c r="B1022" s="335"/>
      <c r="C1022" s="2" t="s">
        <v>1523</v>
      </c>
      <c r="D1022" s="3">
        <v>459264.89</v>
      </c>
      <c r="E1022" s="3">
        <v>533032.51</v>
      </c>
      <c r="F1022" s="3">
        <v>446408.78</v>
      </c>
      <c r="G1022" s="3">
        <v>126831.29</v>
      </c>
      <c r="H1022" s="342">
        <v>0</v>
      </c>
      <c r="I1022" s="335"/>
    </row>
    <row r="1023" spans="1:9" x14ac:dyDescent="0.25">
      <c r="A1023" s="341" t="s">
        <v>1524</v>
      </c>
      <c r="B1023" s="335"/>
      <c r="C1023" s="2" t="s">
        <v>1525</v>
      </c>
      <c r="D1023" s="3">
        <v>3617.34</v>
      </c>
      <c r="E1023" s="3">
        <v>6611.33</v>
      </c>
      <c r="F1023" s="3">
        <v>5194.57</v>
      </c>
      <c r="G1023" s="3">
        <v>3140.37</v>
      </c>
      <c r="H1023" s="342">
        <v>0</v>
      </c>
      <c r="I1023" s="335"/>
    </row>
    <row r="1024" spans="1:9" x14ac:dyDescent="0.25">
      <c r="A1024" s="341" t="s">
        <v>1528</v>
      </c>
      <c r="B1024" s="335"/>
      <c r="C1024" s="2" t="s">
        <v>786</v>
      </c>
      <c r="D1024" s="3">
        <v>20346.810000000001</v>
      </c>
      <c r="E1024" s="3">
        <v>32222.81</v>
      </c>
      <c r="F1024" s="3">
        <v>34753.449999999997</v>
      </c>
      <c r="G1024" s="3">
        <v>27920.52</v>
      </c>
      <c r="H1024" s="342">
        <v>0</v>
      </c>
      <c r="I1024" s="335"/>
    </row>
    <row r="1025" spans="1:9" x14ac:dyDescent="0.25">
      <c r="A1025" s="341" t="s">
        <v>1529</v>
      </c>
      <c r="B1025" s="335"/>
      <c r="C1025" s="2" t="s">
        <v>108</v>
      </c>
      <c r="D1025" s="3">
        <v>176904.39</v>
      </c>
      <c r="E1025" s="3">
        <v>193695.85</v>
      </c>
      <c r="F1025" s="3">
        <v>218452.35</v>
      </c>
      <c r="G1025" s="3">
        <v>179967.73</v>
      </c>
      <c r="H1025" s="342">
        <v>0</v>
      </c>
      <c r="I1025" s="335"/>
    </row>
    <row r="1026" spans="1:9" x14ac:dyDescent="0.25">
      <c r="A1026" s="341" t="s">
        <v>1530</v>
      </c>
      <c r="B1026" s="335"/>
      <c r="C1026" s="2" t="s">
        <v>1341</v>
      </c>
      <c r="D1026" s="3">
        <v>2304.0500000000002</v>
      </c>
      <c r="E1026" s="3">
        <v>0</v>
      </c>
      <c r="F1026" s="3">
        <v>0</v>
      </c>
      <c r="G1026" s="3">
        <v>0</v>
      </c>
      <c r="H1026" s="342">
        <v>0</v>
      </c>
      <c r="I1026" s="335"/>
    </row>
    <row r="1027" spans="1:9" x14ac:dyDescent="0.25">
      <c r="A1027" s="341" t="s">
        <v>1531</v>
      </c>
      <c r="B1027" s="335"/>
      <c r="C1027" s="2" t="s">
        <v>29</v>
      </c>
      <c r="D1027" s="3">
        <v>52687.41</v>
      </c>
      <c r="E1027" s="3">
        <v>54240.22</v>
      </c>
      <c r="F1027" s="3">
        <v>59663.98</v>
      </c>
      <c r="G1027" s="3">
        <v>52131.08</v>
      </c>
      <c r="H1027" s="342">
        <v>0</v>
      </c>
      <c r="I1027" s="335"/>
    </row>
    <row r="1028" spans="1:9" x14ac:dyDescent="0.25">
      <c r="A1028" s="341" t="s">
        <v>1532</v>
      </c>
      <c r="B1028" s="335"/>
      <c r="C1028" s="2" t="s">
        <v>128</v>
      </c>
      <c r="D1028" s="3">
        <v>4720.1099999999997</v>
      </c>
      <c r="E1028" s="3">
        <v>3926.79</v>
      </c>
      <c r="F1028" s="3">
        <v>4875.83</v>
      </c>
      <c r="G1028" s="3">
        <v>3045.41</v>
      </c>
      <c r="H1028" s="342">
        <v>0</v>
      </c>
      <c r="I1028" s="335"/>
    </row>
    <row r="1029" spans="1:9" x14ac:dyDescent="0.25">
      <c r="A1029" s="341" t="s">
        <v>1533</v>
      </c>
      <c r="B1029" s="335"/>
      <c r="C1029" s="2" t="s">
        <v>33</v>
      </c>
      <c r="D1029" s="3">
        <v>22392.01</v>
      </c>
      <c r="E1029" s="3">
        <v>24529.41</v>
      </c>
      <c r="F1029" s="3">
        <v>24379.91</v>
      </c>
      <c r="G1029" s="3">
        <v>18229.68</v>
      </c>
      <c r="H1029" s="342">
        <v>0</v>
      </c>
      <c r="I1029" s="335"/>
    </row>
    <row r="1030" spans="1:9" x14ac:dyDescent="0.25">
      <c r="A1030" s="341" t="s">
        <v>1534</v>
      </c>
      <c r="B1030" s="335"/>
      <c r="C1030" s="2" t="s">
        <v>11</v>
      </c>
      <c r="D1030" s="3">
        <v>13577.3</v>
      </c>
      <c r="E1030" s="3">
        <v>14531</v>
      </c>
      <c r="F1030" s="3">
        <v>16451.79</v>
      </c>
      <c r="G1030" s="3">
        <v>13547.78</v>
      </c>
      <c r="H1030" s="342">
        <v>0</v>
      </c>
      <c r="I1030" s="335"/>
    </row>
    <row r="1031" spans="1:9" x14ac:dyDescent="0.25">
      <c r="A1031" s="341" t="s">
        <v>1535</v>
      </c>
      <c r="B1031" s="335"/>
      <c r="C1031" s="2" t="s">
        <v>1347</v>
      </c>
      <c r="D1031" s="3">
        <v>2920.36</v>
      </c>
      <c r="E1031" s="3">
        <v>3328.27</v>
      </c>
      <c r="F1031" s="3">
        <v>3921.86</v>
      </c>
      <c r="G1031" s="3">
        <v>2831.99</v>
      </c>
      <c r="H1031" s="342">
        <v>0</v>
      </c>
      <c r="I1031" s="335"/>
    </row>
    <row r="1032" spans="1:9" x14ac:dyDescent="0.25">
      <c r="A1032" s="341" t="s">
        <v>1536</v>
      </c>
      <c r="B1032" s="335"/>
      <c r="C1032" s="2" t="s">
        <v>13</v>
      </c>
      <c r="D1032" s="3">
        <v>283.20999999999998</v>
      </c>
      <c r="E1032" s="3">
        <v>330.54</v>
      </c>
      <c r="F1032" s="3">
        <v>370.77</v>
      </c>
      <c r="G1032" s="3">
        <v>441.89</v>
      </c>
      <c r="H1032" s="342">
        <v>0</v>
      </c>
      <c r="I1032" s="335"/>
    </row>
    <row r="1033" spans="1:9" x14ac:dyDescent="0.25">
      <c r="A1033" s="341" t="s">
        <v>1537</v>
      </c>
      <c r="B1033" s="335"/>
      <c r="C1033" s="2" t="s">
        <v>577</v>
      </c>
      <c r="D1033" s="3">
        <v>459.38</v>
      </c>
      <c r="E1033" s="3">
        <v>601.42999999999995</v>
      </c>
      <c r="F1033" s="3">
        <v>641.39</v>
      </c>
      <c r="G1033" s="3">
        <v>363.12</v>
      </c>
      <c r="H1033" s="342">
        <v>0</v>
      </c>
      <c r="I1033" s="335"/>
    </row>
    <row r="1034" spans="1:9" x14ac:dyDescent="0.25">
      <c r="A1034" s="341" t="s">
        <v>1538</v>
      </c>
      <c r="B1034" s="335"/>
      <c r="C1034" s="2" t="s">
        <v>579</v>
      </c>
      <c r="D1034" s="3">
        <v>2599.09</v>
      </c>
      <c r="E1034" s="3">
        <v>4131.1400000000003</v>
      </c>
      <c r="F1034" s="3">
        <v>3962.01</v>
      </c>
      <c r="G1034" s="3">
        <v>2885.77</v>
      </c>
      <c r="H1034" s="342">
        <v>0</v>
      </c>
      <c r="I1034" s="335"/>
    </row>
    <row r="1035" spans="1:9" x14ac:dyDescent="0.25">
      <c r="A1035" s="341" t="s">
        <v>1539</v>
      </c>
      <c r="B1035" s="335"/>
      <c r="C1035" s="2" t="s">
        <v>581</v>
      </c>
      <c r="D1035" s="3">
        <v>1525.38</v>
      </c>
      <c r="E1035" s="3">
        <v>2423.88</v>
      </c>
      <c r="F1035" s="3">
        <v>2621.31</v>
      </c>
      <c r="G1035" s="3">
        <v>2105.5</v>
      </c>
      <c r="H1035" s="342">
        <v>0</v>
      </c>
      <c r="I1035" s="335"/>
    </row>
    <row r="1036" spans="1:9" x14ac:dyDescent="0.25">
      <c r="A1036" s="341" t="s">
        <v>1540</v>
      </c>
      <c r="B1036" s="335"/>
      <c r="C1036" s="2" t="s">
        <v>458</v>
      </c>
      <c r="D1036" s="3">
        <v>585.57000000000005</v>
      </c>
      <c r="E1036" s="3">
        <v>814.2</v>
      </c>
      <c r="F1036" s="3">
        <v>789.84</v>
      </c>
      <c r="G1036" s="3">
        <v>325.95</v>
      </c>
      <c r="H1036" s="342">
        <v>0</v>
      </c>
      <c r="I1036" s="335"/>
    </row>
    <row r="1037" spans="1:9" ht="24" x14ac:dyDescent="0.25">
      <c r="A1037" s="341" t="s">
        <v>1541</v>
      </c>
      <c r="B1037" s="335"/>
      <c r="C1037" s="2" t="s">
        <v>1542</v>
      </c>
      <c r="D1037" s="3">
        <v>90085.1</v>
      </c>
      <c r="E1037" s="3">
        <v>42059.34</v>
      </c>
      <c r="F1037" s="3">
        <v>31421.84</v>
      </c>
      <c r="G1037" s="3">
        <v>57479.17</v>
      </c>
      <c r="H1037" s="342">
        <v>0</v>
      </c>
      <c r="I1037" s="335"/>
    </row>
    <row r="1038" spans="1:9" x14ac:dyDescent="0.25">
      <c r="A1038" s="341" t="s">
        <v>1543</v>
      </c>
      <c r="B1038" s="335"/>
      <c r="C1038" s="2" t="s">
        <v>1544</v>
      </c>
      <c r="D1038" s="3">
        <v>7713.74</v>
      </c>
      <c r="E1038" s="3">
        <v>13613.3</v>
      </c>
      <c r="F1038" s="3">
        <v>12243.44</v>
      </c>
      <c r="G1038" s="3">
        <v>8641.11</v>
      </c>
      <c r="H1038" s="342">
        <v>0</v>
      </c>
      <c r="I1038" s="335"/>
    </row>
    <row r="1039" spans="1:9" x14ac:dyDescent="0.25">
      <c r="A1039" s="341" t="s">
        <v>1545</v>
      </c>
      <c r="B1039" s="335"/>
      <c r="C1039" s="2" t="s">
        <v>1546</v>
      </c>
      <c r="D1039" s="3">
        <v>0</v>
      </c>
      <c r="E1039" s="3">
        <v>3892.69</v>
      </c>
      <c r="F1039" s="3">
        <v>0</v>
      </c>
      <c r="G1039" s="3">
        <v>0</v>
      </c>
      <c r="H1039" s="342">
        <v>0</v>
      </c>
      <c r="I1039" s="335"/>
    </row>
    <row r="1040" spans="1:9" x14ac:dyDescent="0.25">
      <c r="A1040" s="341" t="s">
        <v>3230</v>
      </c>
      <c r="B1040" s="335"/>
      <c r="C1040" s="2" t="s">
        <v>3229</v>
      </c>
      <c r="D1040" s="3">
        <v>3181.07</v>
      </c>
      <c r="E1040" s="3">
        <v>0</v>
      </c>
      <c r="F1040" s="3">
        <v>0</v>
      </c>
      <c r="G1040" s="3">
        <v>0</v>
      </c>
      <c r="H1040" s="342">
        <v>0</v>
      </c>
      <c r="I1040" s="335"/>
    </row>
    <row r="1041" spans="1:9" x14ac:dyDescent="0.25">
      <c r="A1041" s="341" t="s">
        <v>1547</v>
      </c>
      <c r="B1041" s="335"/>
      <c r="C1041" s="2" t="s">
        <v>1548</v>
      </c>
      <c r="D1041" s="3">
        <v>90090.6</v>
      </c>
      <c r="E1041" s="3">
        <v>256779.29</v>
      </c>
      <c r="F1041" s="3">
        <v>109988.14</v>
      </c>
      <c r="G1041" s="3">
        <v>0</v>
      </c>
      <c r="H1041" s="342">
        <v>0</v>
      </c>
      <c r="I1041" s="335"/>
    </row>
    <row r="1042" spans="1:9" ht="24" x14ac:dyDescent="0.25">
      <c r="A1042" s="341" t="s">
        <v>1549</v>
      </c>
      <c r="B1042" s="335"/>
      <c r="C1042" s="2" t="s">
        <v>1550</v>
      </c>
      <c r="D1042" s="3">
        <v>54866.81</v>
      </c>
      <c r="E1042" s="3">
        <v>16419.78</v>
      </c>
      <c r="F1042" s="3">
        <v>79.61</v>
      </c>
      <c r="G1042" s="3">
        <v>0</v>
      </c>
      <c r="H1042" s="342">
        <v>0</v>
      </c>
      <c r="I1042" s="335"/>
    </row>
    <row r="1043" spans="1:9" x14ac:dyDescent="0.25">
      <c r="A1043" s="341" t="s">
        <v>1551</v>
      </c>
      <c r="B1043" s="335"/>
      <c r="C1043" s="2" t="s">
        <v>1370</v>
      </c>
      <c r="D1043" s="3">
        <v>433.44</v>
      </c>
      <c r="E1043" s="3">
        <v>2414.66</v>
      </c>
      <c r="F1043" s="3">
        <v>2610.0100000000002</v>
      </c>
      <c r="G1043" s="3">
        <v>4688.3999999999996</v>
      </c>
      <c r="H1043" s="342">
        <v>0</v>
      </c>
      <c r="I1043" s="335"/>
    </row>
    <row r="1044" spans="1:9" ht="24" x14ac:dyDescent="0.25">
      <c r="A1044" s="341" t="s">
        <v>1552</v>
      </c>
      <c r="B1044" s="335"/>
      <c r="C1044" s="2" t="s">
        <v>1553</v>
      </c>
      <c r="D1044" s="3">
        <v>45953.15</v>
      </c>
      <c r="E1044" s="3">
        <v>21712.09</v>
      </c>
      <c r="F1044" s="3">
        <v>51940.959999999999</v>
      </c>
      <c r="G1044" s="3">
        <v>22040.53</v>
      </c>
      <c r="H1044" s="342">
        <v>0</v>
      </c>
      <c r="I1044" s="335"/>
    </row>
    <row r="1045" spans="1:9" x14ac:dyDescent="0.25">
      <c r="A1045" s="341" t="s">
        <v>1554</v>
      </c>
      <c r="B1045" s="335"/>
      <c r="C1045" s="2" t="s">
        <v>1555</v>
      </c>
      <c r="D1045" s="3">
        <v>998</v>
      </c>
      <c r="E1045" s="3">
        <v>0</v>
      </c>
      <c r="F1045" s="3">
        <v>696.42</v>
      </c>
      <c r="G1045" s="3">
        <v>629.13</v>
      </c>
      <c r="H1045" s="342">
        <v>0</v>
      </c>
      <c r="I1045" s="335"/>
    </row>
    <row r="1046" spans="1:9" x14ac:dyDescent="0.25">
      <c r="A1046" s="341" t="s">
        <v>1556</v>
      </c>
      <c r="B1046" s="335"/>
      <c r="C1046" s="2" t="s">
        <v>604</v>
      </c>
      <c r="D1046" s="3">
        <v>2527.2800000000002</v>
      </c>
      <c r="E1046" s="3">
        <v>0</v>
      </c>
      <c r="F1046" s="3">
        <v>949.82</v>
      </c>
      <c r="G1046" s="3">
        <v>0</v>
      </c>
      <c r="H1046" s="342">
        <v>0</v>
      </c>
      <c r="I1046" s="335"/>
    </row>
    <row r="1047" spans="1:9" x14ac:dyDescent="0.25">
      <c r="A1047" s="341" t="s">
        <v>1557</v>
      </c>
      <c r="B1047" s="335"/>
      <c r="C1047" s="2" t="s">
        <v>57</v>
      </c>
      <c r="D1047" s="3">
        <v>2132.63</v>
      </c>
      <c r="E1047" s="3">
        <v>3283.09</v>
      </c>
      <c r="F1047" s="3">
        <v>3307.7</v>
      </c>
      <c r="G1047" s="3">
        <v>3027.08</v>
      </c>
      <c r="H1047" s="342">
        <v>0</v>
      </c>
      <c r="I1047" s="335"/>
    </row>
    <row r="1048" spans="1:9" x14ac:dyDescent="0.25">
      <c r="A1048" s="341" t="s">
        <v>1558</v>
      </c>
      <c r="B1048" s="335"/>
      <c r="C1048" s="2" t="s">
        <v>17</v>
      </c>
      <c r="D1048" s="3">
        <v>1102.0899999999999</v>
      </c>
      <c r="E1048" s="3">
        <v>0</v>
      </c>
      <c r="F1048" s="3">
        <v>315.18</v>
      </c>
      <c r="G1048" s="3">
        <v>0</v>
      </c>
      <c r="H1048" s="342">
        <v>0</v>
      </c>
      <c r="I1048" s="335"/>
    </row>
    <row r="1049" spans="1:9" x14ac:dyDescent="0.25">
      <c r="A1049" s="341" t="s">
        <v>1559</v>
      </c>
      <c r="B1049" s="335"/>
      <c r="C1049" s="2" t="s">
        <v>303</v>
      </c>
      <c r="D1049" s="3">
        <v>717.32</v>
      </c>
      <c r="E1049" s="3">
        <v>667.35</v>
      </c>
      <c r="F1049" s="3">
        <v>747.55</v>
      </c>
      <c r="G1049" s="3">
        <v>558.08000000000004</v>
      </c>
      <c r="H1049" s="342">
        <v>0</v>
      </c>
      <c r="I1049" s="335"/>
    </row>
    <row r="1050" spans="1:9" x14ac:dyDescent="0.25">
      <c r="A1050" s="341" t="s">
        <v>1560</v>
      </c>
      <c r="B1050" s="335"/>
      <c r="C1050" s="2" t="s">
        <v>305</v>
      </c>
      <c r="D1050" s="3">
        <v>213344.32</v>
      </c>
      <c r="E1050" s="3">
        <v>219598.94</v>
      </c>
      <c r="F1050" s="3">
        <v>283773.26</v>
      </c>
      <c r="G1050" s="3">
        <v>133922.48000000001</v>
      </c>
      <c r="H1050" s="342">
        <v>0</v>
      </c>
      <c r="I1050" s="335"/>
    </row>
    <row r="1051" spans="1:9" x14ac:dyDescent="0.25">
      <c r="A1051" s="341" t="s">
        <v>1561</v>
      </c>
      <c r="B1051" s="335"/>
      <c r="C1051" s="2" t="s">
        <v>1562</v>
      </c>
      <c r="D1051" s="3">
        <v>189.33</v>
      </c>
      <c r="E1051" s="3">
        <v>450.74</v>
      </c>
      <c r="F1051" s="3">
        <v>504</v>
      </c>
      <c r="G1051" s="3">
        <v>334.16</v>
      </c>
      <c r="H1051" s="342">
        <v>0</v>
      </c>
      <c r="I1051" s="335"/>
    </row>
    <row r="1052" spans="1:9" x14ac:dyDescent="0.25">
      <c r="A1052" s="341" t="s">
        <v>1563</v>
      </c>
      <c r="B1052" s="335"/>
      <c r="C1052" s="2" t="s">
        <v>1564</v>
      </c>
      <c r="D1052" s="3">
        <v>1157.94</v>
      </c>
      <c r="E1052" s="3">
        <v>230.54</v>
      </c>
      <c r="F1052" s="3">
        <v>0</v>
      </c>
      <c r="G1052" s="3">
        <v>54.39</v>
      </c>
      <c r="H1052" s="342">
        <v>0</v>
      </c>
      <c r="I1052" s="335"/>
    </row>
    <row r="1053" spans="1:9" x14ac:dyDescent="0.25">
      <c r="A1053" s="341" t="s">
        <v>1565</v>
      </c>
      <c r="B1053" s="335"/>
      <c r="C1053" s="2" t="s">
        <v>947</v>
      </c>
      <c r="D1053" s="3">
        <v>671.63</v>
      </c>
      <c r="E1053" s="3">
        <v>625.5</v>
      </c>
      <c r="F1053" s="3">
        <v>372.98</v>
      </c>
      <c r="G1053" s="3">
        <v>359.51</v>
      </c>
      <c r="H1053" s="342">
        <v>0</v>
      </c>
      <c r="I1053" s="335"/>
    </row>
    <row r="1054" spans="1:9" ht="24" x14ac:dyDescent="0.25">
      <c r="A1054" s="341" t="s">
        <v>1566</v>
      </c>
      <c r="B1054" s="335"/>
      <c r="C1054" s="2" t="s">
        <v>1567</v>
      </c>
      <c r="D1054" s="3">
        <v>2113.13</v>
      </c>
      <c r="E1054" s="3">
        <v>2585.4299999999998</v>
      </c>
      <c r="F1054" s="3">
        <v>9463.18</v>
      </c>
      <c r="G1054" s="3">
        <v>817.62</v>
      </c>
      <c r="H1054" s="342">
        <v>0</v>
      </c>
      <c r="I1054" s="335"/>
    </row>
    <row r="1055" spans="1:9" x14ac:dyDescent="0.25">
      <c r="A1055" s="341" t="s">
        <v>1568</v>
      </c>
      <c r="B1055" s="335"/>
      <c r="C1055" s="2" t="s">
        <v>1569</v>
      </c>
      <c r="D1055" s="3">
        <v>3427.31</v>
      </c>
      <c r="E1055" s="3">
        <v>0</v>
      </c>
      <c r="F1055" s="3">
        <v>0</v>
      </c>
      <c r="G1055" s="3">
        <v>0</v>
      </c>
      <c r="H1055" s="342">
        <v>0</v>
      </c>
      <c r="I1055" s="335"/>
    </row>
    <row r="1056" spans="1:9" x14ac:dyDescent="0.25">
      <c r="A1056" s="341" t="s">
        <v>1570</v>
      </c>
      <c r="B1056" s="335"/>
      <c r="C1056" s="2" t="s">
        <v>64</v>
      </c>
      <c r="D1056" s="3">
        <v>294.94</v>
      </c>
      <c r="E1056" s="3">
        <v>929.85</v>
      </c>
      <c r="F1056" s="3">
        <v>1726.86</v>
      </c>
      <c r="G1056" s="3">
        <v>1651.14</v>
      </c>
      <c r="H1056" s="342">
        <v>0</v>
      </c>
      <c r="I1056" s="335"/>
    </row>
    <row r="1057" spans="1:9" x14ac:dyDescent="0.25">
      <c r="A1057" s="341" t="s">
        <v>1571</v>
      </c>
      <c r="B1057" s="335"/>
      <c r="C1057" s="2" t="s">
        <v>1572</v>
      </c>
      <c r="D1057" s="3">
        <v>5943.24</v>
      </c>
      <c r="E1057" s="3">
        <v>14444.52</v>
      </c>
      <c r="F1057" s="3">
        <v>14043.81</v>
      </c>
      <c r="G1057" s="3">
        <v>13415.76</v>
      </c>
      <c r="H1057" s="342">
        <v>0</v>
      </c>
      <c r="I1057" s="335"/>
    </row>
    <row r="1058" spans="1:9" x14ac:dyDescent="0.25">
      <c r="A1058" s="341" t="s">
        <v>1573</v>
      </c>
      <c r="B1058" s="335"/>
      <c r="C1058" s="2" t="s">
        <v>624</v>
      </c>
      <c r="D1058" s="3">
        <v>788.35</v>
      </c>
      <c r="E1058" s="3">
        <v>1691.36</v>
      </c>
      <c r="F1058" s="3">
        <v>811.31</v>
      </c>
      <c r="G1058" s="3">
        <v>1177.83</v>
      </c>
      <c r="H1058" s="342">
        <v>0</v>
      </c>
      <c r="I1058" s="335"/>
    </row>
    <row r="1059" spans="1:9" x14ac:dyDescent="0.25">
      <c r="A1059" s="341" t="s">
        <v>1574</v>
      </c>
      <c r="B1059" s="335"/>
      <c r="C1059" s="2" t="s">
        <v>1575</v>
      </c>
      <c r="D1059" s="3">
        <v>1126.5</v>
      </c>
      <c r="E1059" s="3">
        <v>264</v>
      </c>
      <c r="F1059" s="3">
        <v>1817.3</v>
      </c>
      <c r="G1059" s="3">
        <v>730.71</v>
      </c>
      <c r="H1059" s="342">
        <v>0</v>
      </c>
      <c r="I1059" s="335"/>
    </row>
    <row r="1060" spans="1:9" x14ac:dyDescent="0.25">
      <c r="A1060" s="341" t="s">
        <v>1576</v>
      </c>
      <c r="B1060" s="335"/>
      <c r="C1060" s="2" t="s">
        <v>1577</v>
      </c>
      <c r="D1060" s="3">
        <v>1208</v>
      </c>
      <c r="E1060" s="3">
        <v>1208</v>
      </c>
      <c r="F1060" s="3">
        <v>1208</v>
      </c>
      <c r="G1060" s="3">
        <v>0</v>
      </c>
      <c r="H1060" s="342">
        <v>0</v>
      </c>
      <c r="I1060" s="335"/>
    </row>
    <row r="1061" spans="1:9" ht="24" x14ac:dyDescent="0.25">
      <c r="A1061" s="341" t="s">
        <v>3228</v>
      </c>
      <c r="B1061" s="335"/>
      <c r="C1061" s="2" t="s">
        <v>3227</v>
      </c>
      <c r="D1061" s="3">
        <v>6915.24</v>
      </c>
      <c r="E1061" s="3">
        <v>0</v>
      </c>
      <c r="F1061" s="3">
        <v>0</v>
      </c>
      <c r="G1061" s="3">
        <v>0</v>
      </c>
      <c r="H1061" s="342">
        <v>0</v>
      </c>
      <c r="I1061" s="335"/>
    </row>
    <row r="1062" spans="1:9" x14ac:dyDescent="0.25">
      <c r="A1062" s="341" t="s">
        <v>1579</v>
      </c>
      <c r="B1062" s="335"/>
      <c r="C1062" s="2" t="s">
        <v>1580</v>
      </c>
      <c r="D1062" s="3">
        <v>340.89</v>
      </c>
      <c r="E1062" s="3">
        <v>0</v>
      </c>
      <c r="F1062" s="3">
        <v>0</v>
      </c>
      <c r="G1062" s="3">
        <v>0</v>
      </c>
      <c r="H1062" s="342">
        <v>0</v>
      </c>
      <c r="I1062" s="335"/>
    </row>
    <row r="1063" spans="1:9" ht="24" x14ac:dyDescent="0.25">
      <c r="A1063" s="341" t="s">
        <v>1581</v>
      </c>
      <c r="B1063" s="335"/>
      <c r="C1063" s="2" t="s">
        <v>1582</v>
      </c>
      <c r="D1063" s="3">
        <v>3368.47</v>
      </c>
      <c r="E1063" s="3">
        <v>18691.88</v>
      </c>
      <c r="F1063" s="3">
        <v>24846.03</v>
      </c>
      <c r="G1063" s="3">
        <v>2720.62</v>
      </c>
      <c r="H1063" s="342">
        <v>0</v>
      </c>
      <c r="I1063" s="335"/>
    </row>
    <row r="1064" spans="1:9" ht="24" x14ac:dyDescent="0.25">
      <c r="A1064" s="341" t="s">
        <v>1583</v>
      </c>
      <c r="B1064" s="335"/>
      <c r="C1064" s="2" t="s">
        <v>1584</v>
      </c>
      <c r="D1064" s="3">
        <v>0</v>
      </c>
      <c r="E1064" s="3">
        <v>0</v>
      </c>
      <c r="F1064" s="3">
        <v>0</v>
      </c>
      <c r="G1064" s="3">
        <v>854.69</v>
      </c>
      <c r="H1064" s="342">
        <v>0</v>
      </c>
      <c r="I1064" s="335"/>
    </row>
    <row r="1065" spans="1:9" x14ac:dyDescent="0.25">
      <c r="A1065" s="341" t="s">
        <v>1585</v>
      </c>
      <c r="B1065" s="335"/>
      <c r="C1065" s="2" t="s">
        <v>850</v>
      </c>
      <c r="D1065" s="3">
        <v>0</v>
      </c>
      <c r="E1065" s="3">
        <v>0</v>
      </c>
      <c r="F1065" s="3">
        <v>0</v>
      </c>
      <c r="G1065" s="3">
        <v>0</v>
      </c>
      <c r="H1065" s="342">
        <v>0</v>
      </c>
      <c r="I1065" s="335"/>
    </row>
    <row r="1066" spans="1:9" x14ac:dyDescent="0.25">
      <c r="A1066" s="341" t="s">
        <v>1586</v>
      </c>
      <c r="B1066" s="335"/>
      <c r="C1066" s="2" t="s">
        <v>1402</v>
      </c>
      <c r="D1066" s="3">
        <v>2132.08</v>
      </c>
      <c r="E1066" s="3">
        <v>0</v>
      </c>
      <c r="F1066" s="3">
        <v>0</v>
      </c>
      <c r="G1066" s="3">
        <v>0</v>
      </c>
      <c r="H1066" s="342">
        <v>0</v>
      </c>
      <c r="I1066" s="335"/>
    </row>
    <row r="1067" spans="1:9" x14ac:dyDescent="0.25">
      <c r="A1067" s="341" t="s">
        <v>1587</v>
      </c>
      <c r="B1067" s="335"/>
      <c r="C1067" s="2" t="s">
        <v>1588</v>
      </c>
      <c r="D1067" s="3">
        <v>0</v>
      </c>
      <c r="E1067" s="3">
        <v>0</v>
      </c>
      <c r="F1067" s="3">
        <v>0</v>
      </c>
      <c r="G1067" s="3">
        <v>0</v>
      </c>
      <c r="H1067" s="342">
        <v>0</v>
      </c>
      <c r="I1067" s="335"/>
    </row>
    <row r="1068" spans="1:9" x14ac:dyDescent="0.25">
      <c r="A1068" s="341" t="s">
        <v>1589</v>
      </c>
      <c r="B1068" s="335"/>
      <c r="C1068" s="2" t="s">
        <v>1590</v>
      </c>
      <c r="D1068" s="3">
        <v>0</v>
      </c>
      <c r="E1068" s="3">
        <v>0</v>
      </c>
      <c r="F1068" s="3">
        <v>0</v>
      </c>
      <c r="G1068" s="3">
        <v>0</v>
      </c>
      <c r="H1068" s="342">
        <v>0</v>
      </c>
      <c r="I1068" s="335"/>
    </row>
    <row r="1069" spans="1:9" x14ac:dyDescent="0.25">
      <c r="A1069" s="341" t="s">
        <v>1591</v>
      </c>
      <c r="B1069" s="335"/>
      <c r="C1069" s="2" t="s">
        <v>1592</v>
      </c>
      <c r="D1069" s="3">
        <v>0</v>
      </c>
      <c r="E1069" s="3">
        <v>0</v>
      </c>
      <c r="F1069" s="3">
        <v>0</v>
      </c>
      <c r="G1069" s="3">
        <v>0</v>
      </c>
      <c r="H1069" s="342">
        <v>0</v>
      </c>
      <c r="I1069" s="335"/>
    </row>
    <row r="1070" spans="1:9" x14ac:dyDescent="0.25">
      <c r="A1070" s="341" t="s">
        <v>1593</v>
      </c>
      <c r="B1070" s="335"/>
      <c r="C1070" s="2" t="s">
        <v>1594</v>
      </c>
      <c r="D1070" s="3">
        <v>0</v>
      </c>
      <c r="E1070" s="3">
        <v>0</v>
      </c>
      <c r="F1070" s="3">
        <v>0</v>
      </c>
      <c r="G1070" s="3">
        <v>0</v>
      </c>
      <c r="H1070" s="342">
        <v>0</v>
      </c>
      <c r="I1070" s="335"/>
    </row>
    <row r="1071" spans="1:9" ht="24" x14ac:dyDescent="0.25">
      <c r="A1071" s="341" t="s">
        <v>1595</v>
      </c>
      <c r="B1071" s="335"/>
      <c r="C1071" s="2" t="s">
        <v>1596</v>
      </c>
      <c r="D1071" s="3">
        <v>0</v>
      </c>
      <c r="E1071" s="3">
        <v>0</v>
      </c>
      <c r="F1071" s="3">
        <v>0</v>
      </c>
      <c r="G1071" s="3">
        <v>0</v>
      </c>
      <c r="H1071" s="342">
        <v>0</v>
      </c>
      <c r="I1071" s="335"/>
    </row>
    <row r="1072" spans="1:9" x14ac:dyDescent="0.25">
      <c r="A1072" s="341" t="s">
        <v>1597</v>
      </c>
      <c r="B1072" s="335"/>
      <c r="C1072" s="2" t="s">
        <v>1598</v>
      </c>
      <c r="D1072" s="3">
        <v>0</v>
      </c>
      <c r="E1072" s="3">
        <v>0</v>
      </c>
      <c r="F1072" s="3">
        <v>0</v>
      </c>
      <c r="G1072" s="3">
        <v>0</v>
      </c>
      <c r="H1072" s="342">
        <v>0</v>
      </c>
      <c r="I1072" s="335"/>
    </row>
    <row r="1073" spans="1:9" x14ac:dyDescent="0.25">
      <c r="A1073" s="341" t="s">
        <v>1599</v>
      </c>
      <c r="B1073" s="335"/>
      <c r="C1073" s="2" t="s">
        <v>1600</v>
      </c>
      <c r="D1073" s="3">
        <v>0</v>
      </c>
      <c r="E1073" s="3">
        <v>0</v>
      </c>
      <c r="F1073" s="3">
        <v>0</v>
      </c>
      <c r="G1073" s="3">
        <v>0</v>
      </c>
      <c r="H1073" s="342">
        <v>0</v>
      </c>
      <c r="I1073" s="335"/>
    </row>
    <row r="1074" spans="1:9" x14ac:dyDescent="0.25">
      <c r="A1074" s="341" t="s">
        <v>1601</v>
      </c>
      <c r="B1074" s="335"/>
      <c r="C1074" s="2" t="s">
        <v>1602</v>
      </c>
      <c r="D1074" s="3">
        <v>0</v>
      </c>
      <c r="E1074" s="3">
        <v>0</v>
      </c>
      <c r="F1074" s="3">
        <v>0</v>
      </c>
      <c r="G1074" s="3">
        <v>0</v>
      </c>
      <c r="H1074" s="342">
        <v>0</v>
      </c>
      <c r="I1074" s="335"/>
    </row>
    <row r="1075" spans="1:9" x14ac:dyDescent="0.25">
      <c r="A1075" s="341" t="s">
        <v>1603</v>
      </c>
      <c r="B1075" s="335"/>
      <c r="C1075" s="2" t="s">
        <v>1604</v>
      </c>
      <c r="D1075" s="3">
        <v>0</v>
      </c>
      <c r="E1075" s="3">
        <v>0</v>
      </c>
      <c r="F1075" s="3">
        <v>0</v>
      </c>
      <c r="G1075" s="3">
        <v>0</v>
      </c>
      <c r="H1075" s="342">
        <v>0</v>
      </c>
      <c r="I1075" s="335"/>
    </row>
    <row r="1076" spans="1:9" ht="24" x14ac:dyDescent="0.25">
      <c r="A1076" s="341" t="s">
        <v>1605</v>
      </c>
      <c r="B1076" s="335"/>
      <c r="C1076" s="2" t="s">
        <v>1606</v>
      </c>
      <c r="D1076" s="3">
        <v>37932.120000000003</v>
      </c>
      <c r="E1076" s="3">
        <v>138519.26999999999</v>
      </c>
      <c r="F1076" s="3">
        <v>357251.42</v>
      </c>
      <c r="G1076" s="3">
        <v>0</v>
      </c>
      <c r="H1076" s="342">
        <v>0</v>
      </c>
      <c r="I1076" s="335"/>
    </row>
    <row r="1077" spans="1:9" x14ac:dyDescent="0.25">
      <c r="A1077" s="341" t="s">
        <v>3226</v>
      </c>
      <c r="B1077" s="335"/>
      <c r="C1077" s="2" t="s">
        <v>3225</v>
      </c>
      <c r="D1077" s="3">
        <v>61734</v>
      </c>
      <c r="E1077" s="3">
        <v>0</v>
      </c>
      <c r="F1077" s="3">
        <v>0</v>
      </c>
      <c r="G1077" s="3">
        <v>0</v>
      </c>
      <c r="H1077" s="342">
        <v>0</v>
      </c>
      <c r="I1077" s="335"/>
    </row>
    <row r="1078" spans="1:9" x14ac:dyDescent="0.25">
      <c r="A1078" s="341" t="s">
        <v>1607</v>
      </c>
      <c r="B1078" s="335"/>
      <c r="C1078" s="2" t="s">
        <v>1608</v>
      </c>
      <c r="D1078" s="3">
        <v>52267.87</v>
      </c>
      <c r="E1078" s="3">
        <v>96717.02</v>
      </c>
      <c r="F1078" s="3">
        <v>0</v>
      </c>
      <c r="G1078" s="3">
        <v>0</v>
      </c>
      <c r="H1078" s="342">
        <v>0</v>
      </c>
      <c r="I1078" s="335"/>
    </row>
    <row r="1079" spans="1:9" x14ac:dyDescent="0.25">
      <c r="A1079" s="341" t="s">
        <v>1609</v>
      </c>
      <c r="B1079" s="335"/>
      <c r="C1079" s="2" t="s">
        <v>1610</v>
      </c>
      <c r="D1079" s="3">
        <v>0</v>
      </c>
      <c r="E1079" s="3">
        <v>0</v>
      </c>
      <c r="F1079" s="3">
        <v>0</v>
      </c>
      <c r="G1079" s="3">
        <v>0</v>
      </c>
      <c r="H1079" s="342">
        <v>0</v>
      </c>
      <c r="I1079" s="335"/>
    </row>
    <row r="1080" spans="1:9" x14ac:dyDescent="0.25">
      <c r="A1080" s="341" t="s">
        <v>1611</v>
      </c>
      <c r="B1080" s="335"/>
      <c r="C1080" s="2" t="s">
        <v>1426</v>
      </c>
      <c r="D1080" s="3">
        <v>0</v>
      </c>
      <c r="E1080" s="3">
        <v>8864.51</v>
      </c>
      <c r="F1080" s="3">
        <v>0</v>
      </c>
      <c r="G1080" s="3">
        <v>0</v>
      </c>
      <c r="H1080" s="342">
        <v>0</v>
      </c>
      <c r="I1080" s="335"/>
    </row>
    <row r="1081" spans="1:9" x14ac:dyDescent="0.25">
      <c r="A1081" s="341" t="s">
        <v>1612</v>
      </c>
      <c r="B1081" s="335"/>
      <c r="C1081" s="2" t="s">
        <v>1434</v>
      </c>
      <c r="D1081" s="3">
        <v>0</v>
      </c>
      <c r="E1081" s="3">
        <v>0</v>
      </c>
      <c r="F1081" s="3">
        <v>2023.97</v>
      </c>
      <c r="G1081" s="3">
        <v>352.26</v>
      </c>
      <c r="H1081" s="342">
        <v>0</v>
      </c>
      <c r="I1081" s="335"/>
    </row>
    <row r="1082" spans="1:9" x14ac:dyDescent="0.25">
      <c r="A1082" s="341" t="s">
        <v>1613</v>
      </c>
      <c r="B1082" s="335"/>
      <c r="C1082" s="2" t="s">
        <v>1436</v>
      </c>
      <c r="D1082" s="3">
        <v>0</v>
      </c>
      <c r="E1082" s="3">
        <v>3750.37</v>
      </c>
      <c r="F1082" s="3">
        <v>1029.28</v>
      </c>
      <c r="G1082" s="3">
        <v>786.41</v>
      </c>
      <c r="H1082" s="342">
        <v>0</v>
      </c>
      <c r="I1082" s="335"/>
    </row>
    <row r="1083" spans="1:9" ht="24" x14ac:dyDescent="0.25">
      <c r="A1083" s="341" t="s">
        <v>1614</v>
      </c>
      <c r="B1083" s="335"/>
      <c r="C1083" s="2" t="s">
        <v>1615</v>
      </c>
      <c r="D1083" s="3">
        <v>0</v>
      </c>
      <c r="E1083" s="3">
        <v>0</v>
      </c>
      <c r="F1083" s="3">
        <v>0</v>
      </c>
      <c r="G1083" s="3">
        <v>168.8</v>
      </c>
      <c r="H1083" s="342">
        <v>0</v>
      </c>
      <c r="I1083" s="335"/>
    </row>
    <row r="1084" spans="1:9" x14ac:dyDescent="0.25">
      <c r="A1084" s="340" t="s">
        <v>3224</v>
      </c>
      <c r="B1084" s="335"/>
      <c r="C1084" s="1" t="s">
        <v>2</v>
      </c>
    </row>
    <row r="1085" spans="1:9" ht="24" x14ac:dyDescent="0.25">
      <c r="A1085" s="341" t="s">
        <v>1616</v>
      </c>
      <c r="B1085" s="335"/>
      <c r="C1085" s="2" t="s">
        <v>1617</v>
      </c>
      <c r="D1085" s="3">
        <v>702402.5</v>
      </c>
      <c r="E1085" s="3">
        <v>696399.54</v>
      </c>
      <c r="F1085" s="3">
        <v>695259.19</v>
      </c>
      <c r="G1085" s="3">
        <v>120111</v>
      </c>
      <c r="H1085" s="342">
        <v>0</v>
      </c>
      <c r="I1085" s="335"/>
    </row>
    <row r="1086" spans="1:9" ht="24" x14ac:dyDescent="0.25">
      <c r="A1086" s="341" t="s">
        <v>1618</v>
      </c>
      <c r="B1086" s="335"/>
      <c r="C1086" s="2" t="s">
        <v>1459</v>
      </c>
      <c r="D1086" s="3">
        <v>13935.36</v>
      </c>
      <c r="E1086" s="3">
        <v>13922.7</v>
      </c>
      <c r="F1086" s="3">
        <v>13909.32</v>
      </c>
      <c r="G1086" s="3">
        <v>9841.9699999999993</v>
      </c>
      <c r="H1086" s="342">
        <v>0</v>
      </c>
      <c r="I1086" s="335"/>
    </row>
    <row r="1087" spans="1:9" x14ac:dyDescent="0.25">
      <c r="A1087" s="340" t="s">
        <v>3223</v>
      </c>
      <c r="B1087" s="335"/>
      <c r="C1087" s="1" t="s">
        <v>2</v>
      </c>
      <c r="D1087" s="4">
        <v>716337.86</v>
      </c>
      <c r="E1087" s="4">
        <v>710322.24</v>
      </c>
      <c r="F1087" s="4">
        <v>709168.51</v>
      </c>
      <c r="G1087" s="4">
        <v>129952.97</v>
      </c>
      <c r="H1087" s="343">
        <v>0</v>
      </c>
      <c r="I1087" s="335"/>
    </row>
    <row r="1088" spans="1:9" x14ac:dyDescent="0.25">
      <c r="A1088" s="340" t="s">
        <v>2</v>
      </c>
      <c r="B1088" s="335"/>
      <c r="C1088" s="1" t="s">
        <v>2</v>
      </c>
      <c r="D1088" s="1" t="s">
        <v>2</v>
      </c>
      <c r="E1088" s="1" t="s">
        <v>2</v>
      </c>
      <c r="F1088" s="1" t="s">
        <v>2</v>
      </c>
      <c r="G1088" s="1" t="s">
        <v>2</v>
      </c>
      <c r="H1088" s="340" t="s">
        <v>2</v>
      </c>
      <c r="I1088" s="335"/>
    </row>
    <row r="1089" spans="1:9" ht="24" x14ac:dyDescent="0.25">
      <c r="A1089" s="341" t="s">
        <v>1619</v>
      </c>
      <c r="B1089" s="335"/>
      <c r="C1089" s="2" t="s">
        <v>1620</v>
      </c>
      <c r="D1089" s="3">
        <v>0</v>
      </c>
      <c r="E1089" s="3">
        <v>0</v>
      </c>
      <c r="F1089" s="3">
        <v>0</v>
      </c>
      <c r="G1089" s="3">
        <v>0</v>
      </c>
      <c r="H1089" s="342">
        <v>0</v>
      </c>
      <c r="I1089" s="335"/>
    </row>
    <row r="1090" spans="1:9" x14ac:dyDescent="0.25">
      <c r="A1090" s="341" t="s">
        <v>1621</v>
      </c>
      <c r="B1090" s="335"/>
      <c r="C1090" s="2" t="s">
        <v>1025</v>
      </c>
      <c r="D1090" s="3">
        <v>0</v>
      </c>
      <c r="E1090" s="3">
        <v>0</v>
      </c>
      <c r="F1090" s="3">
        <v>0</v>
      </c>
      <c r="G1090" s="3">
        <v>0</v>
      </c>
      <c r="H1090" s="342">
        <v>0</v>
      </c>
      <c r="I1090" s="335"/>
    </row>
    <row r="1091" spans="1:9" x14ac:dyDescent="0.25">
      <c r="A1091" s="341" t="s">
        <v>1622</v>
      </c>
      <c r="B1091" s="335"/>
      <c r="C1091" s="2" t="s">
        <v>1027</v>
      </c>
      <c r="D1091" s="3">
        <v>0</v>
      </c>
      <c r="E1091" s="3">
        <v>0</v>
      </c>
      <c r="F1091" s="3">
        <v>0</v>
      </c>
      <c r="G1091" s="3">
        <v>0</v>
      </c>
      <c r="H1091" s="342">
        <v>0</v>
      </c>
      <c r="I1091" s="335"/>
    </row>
    <row r="1092" spans="1:9" x14ac:dyDescent="0.25">
      <c r="A1092" s="341" t="s">
        <v>1623</v>
      </c>
      <c r="B1092" s="335"/>
      <c r="C1092" s="2" t="s">
        <v>1029</v>
      </c>
      <c r="D1092" s="3">
        <v>0</v>
      </c>
      <c r="E1092" s="3">
        <v>0</v>
      </c>
      <c r="F1092" s="3">
        <v>0</v>
      </c>
      <c r="G1092" s="3">
        <v>0</v>
      </c>
      <c r="H1092" s="342">
        <v>0</v>
      </c>
      <c r="I1092" s="335"/>
    </row>
    <row r="1093" spans="1:9" x14ac:dyDescent="0.25">
      <c r="A1093" s="341" t="s">
        <v>1624</v>
      </c>
      <c r="B1093" s="335"/>
      <c r="C1093" s="2" t="s">
        <v>1031</v>
      </c>
      <c r="D1093" s="3">
        <v>0</v>
      </c>
      <c r="E1093" s="3">
        <v>0</v>
      </c>
      <c r="F1093" s="3">
        <v>0</v>
      </c>
      <c r="G1093" s="3">
        <v>0</v>
      </c>
      <c r="H1093" s="342">
        <v>0</v>
      </c>
      <c r="I1093" s="335"/>
    </row>
    <row r="1094" spans="1:9" ht="24" x14ac:dyDescent="0.25">
      <c r="A1094" s="341" t="s">
        <v>1625</v>
      </c>
      <c r="B1094" s="335"/>
      <c r="C1094" s="2" t="s">
        <v>1035</v>
      </c>
      <c r="D1094" s="3">
        <v>0</v>
      </c>
      <c r="E1094" s="3">
        <v>0</v>
      </c>
      <c r="F1094" s="3">
        <v>0</v>
      </c>
      <c r="G1094" s="3">
        <v>0</v>
      </c>
      <c r="H1094" s="342">
        <v>0</v>
      </c>
      <c r="I1094" s="335"/>
    </row>
    <row r="1095" spans="1:9" x14ac:dyDescent="0.25">
      <c r="A1095" s="341" t="s">
        <v>1626</v>
      </c>
      <c r="B1095" s="335"/>
      <c r="C1095" s="2" t="s">
        <v>1037</v>
      </c>
      <c r="D1095" s="3">
        <v>0</v>
      </c>
      <c r="E1095" s="3">
        <v>0</v>
      </c>
      <c r="F1095" s="3">
        <v>0</v>
      </c>
      <c r="G1095" s="3">
        <v>0</v>
      </c>
      <c r="H1095" s="342">
        <v>0</v>
      </c>
      <c r="I1095" s="335"/>
    </row>
    <row r="1096" spans="1:9" x14ac:dyDescent="0.25">
      <c r="A1096" s="341" t="s">
        <v>1627</v>
      </c>
      <c r="B1096" s="335"/>
      <c r="C1096" s="2" t="s">
        <v>1628</v>
      </c>
      <c r="D1096" s="3">
        <v>0</v>
      </c>
      <c r="E1096" s="3">
        <v>0</v>
      </c>
      <c r="F1096" s="3">
        <v>0</v>
      </c>
      <c r="G1096" s="3">
        <v>0</v>
      </c>
      <c r="H1096" s="342">
        <v>0</v>
      </c>
      <c r="I1096" s="335"/>
    </row>
    <row r="1097" spans="1:9" x14ac:dyDescent="0.25">
      <c r="A1097" s="341" t="s">
        <v>1629</v>
      </c>
      <c r="B1097" s="335"/>
      <c r="C1097" s="2" t="s">
        <v>1007</v>
      </c>
      <c r="D1097" s="3">
        <v>0</v>
      </c>
      <c r="E1097" s="3">
        <v>9194.76</v>
      </c>
      <c r="F1097" s="3">
        <v>0</v>
      </c>
      <c r="G1097" s="3">
        <v>0</v>
      </c>
      <c r="H1097" s="342">
        <v>0</v>
      </c>
      <c r="I1097" s="335"/>
    </row>
    <row r="1098" spans="1:9" ht="24" x14ac:dyDescent="0.25">
      <c r="A1098" s="341" t="s">
        <v>1630</v>
      </c>
      <c r="B1098" s="335"/>
      <c r="C1098" s="2" t="s">
        <v>1009</v>
      </c>
      <c r="D1098" s="3">
        <v>0</v>
      </c>
      <c r="E1098" s="3">
        <v>23875.74</v>
      </c>
      <c r="F1098" s="3">
        <v>23850.65</v>
      </c>
      <c r="G1098" s="3">
        <v>0</v>
      </c>
      <c r="H1098" s="342">
        <v>0</v>
      </c>
      <c r="I1098" s="335"/>
    </row>
    <row r="1099" spans="1:9" ht="24" x14ac:dyDescent="0.25">
      <c r="A1099" s="341" t="s">
        <v>1631</v>
      </c>
      <c r="B1099" s="335"/>
      <c r="C1099" s="2" t="s">
        <v>1632</v>
      </c>
      <c r="D1099" s="3">
        <v>0</v>
      </c>
      <c r="E1099" s="3">
        <v>21250</v>
      </c>
      <c r="F1099" s="3">
        <v>0</v>
      </c>
      <c r="G1099" s="3">
        <v>0</v>
      </c>
      <c r="H1099" s="342">
        <v>0</v>
      </c>
      <c r="I1099" s="335"/>
    </row>
    <row r="1100" spans="1:9" x14ac:dyDescent="0.25">
      <c r="A1100" s="341" t="s">
        <v>1633</v>
      </c>
      <c r="B1100" s="335"/>
      <c r="C1100" s="2" t="s">
        <v>1013</v>
      </c>
      <c r="D1100" s="3">
        <v>0</v>
      </c>
      <c r="E1100" s="3">
        <v>0</v>
      </c>
      <c r="F1100" s="3">
        <v>17643.03</v>
      </c>
      <c r="G1100" s="3">
        <v>0</v>
      </c>
      <c r="H1100" s="342">
        <v>0</v>
      </c>
      <c r="I1100" s="335"/>
    </row>
    <row r="1101" spans="1:9" x14ac:dyDescent="0.25">
      <c r="A1101" s="341" t="s">
        <v>1634</v>
      </c>
      <c r="B1101" s="335"/>
      <c r="C1101" s="2" t="s">
        <v>1015</v>
      </c>
      <c r="D1101" s="3">
        <v>0</v>
      </c>
      <c r="E1101" s="3">
        <v>0</v>
      </c>
      <c r="F1101" s="3">
        <v>8581.1299999999992</v>
      </c>
      <c r="G1101" s="3">
        <v>0</v>
      </c>
      <c r="H1101" s="342">
        <v>0</v>
      </c>
      <c r="I1101" s="335"/>
    </row>
    <row r="1102" spans="1:9" x14ac:dyDescent="0.25">
      <c r="A1102" s="341" t="s">
        <v>1635</v>
      </c>
      <c r="B1102" s="335"/>
      <c r="C1102" s="2" t="s">
        <v>1636</v>
      </c>
      <c r="D1102" s="3">
        <v>0</v>
      </c>
      <c r="E1102" s="3">
        <v>0</v>
      </c>
      <c r="F1102" s="3">
        <v>58284.73</v>
      </c>
      <c r="G1102" s="3">
        <v>0</v>
      </c>
      <c r="H1102" s="342">
        <v>0</v>
      </c>
      <c r="I1102" s="335"/>
    </row>
    <row r="1103" spans="1:9" ht="24" x14ac:dyDescent="0.25">
      <c r="A1103" s="341" t="s">
        <v>1637</v>
      </c>
      <c r="B1103" s="335"/>
      <c r="C1103" s="2" t="s">
        <v>1638</v>
      </c>
      <c r="D1103" s="3">
        <v>0</v>
      </c>
      <c r="E1103" s="3">
        <v>0</v>
      </c>
      <c r="F1103" s="3">
        <v>1000000</v>
      </c>
      <c r="G1103" s="3">
        <v>0</v>
      </c>
      <c r="H1103" s="342">
        <v>0</v>
      </c>
      <c r="I1103" s="335"/>
    </row>
    <row r="1104" spans="1:9" x14ac:dyDescent="0.25">
      <c r="A1104" s="341" t="s">
        <v>1639</v>
      </c>
      <c r="B1104" s="335"/>
      <c r="C1104" s="2" t="s">
        <v>700</v>
      </c>
      <c r="D1104" s="3">
        <v>0</v>
      </c>
      <c r="E1104" s="3">
        <v>0</v>
      </c>
      <c r="F1104" s="3">
        <v>0</v>
      </c>
      <c r="G1104" s="3">
        <v>0</v>
      </c>
      <c r="H1104" s="342">
        <v>0</v>
      </c>
      <c r="I1104" s="335"/>
    </row>
    <row r="1105" spans="1:9" x14ac:dyDescent="0.25">
      <c r="A1105" s="341" t="s">
        <v>1640</v>
      </c>
      <c r="B1105" s="335"/>
      <c r="C1105" s="2" t="s">
        <v>704</v>
      </c>
      <c r="D1105" s="3">
        <v>0</v>
      </c>
      <c r="E1105" s="3">
        <v>0</v>
      </c>
      <c r="F1105" s="3">
        <v>15433.06</v>
      </c>
      <c r="G1105" s="3">
        <v>0</v>
      </c>
      <c r="H1105" s="342">
        <v>0</v>
      </c>
      <c r="I1105" s="335"/>
    </row>
    <row r="1106" spans="1:9" x14ac:dyDescent="0.25">
      <c r="A1106" s="341" t="s">
        <v>1641</v>
      </c>
      <c r="B1106" s="335"/>
      <c r="C1106" s="2" t="s">
        <v>1642</v>
      </c>
      <c r="D1106" s="3">
        <v>72599.850000000006</v>
      </c>
      <c r="E1106" s="3">
        <v>0</v>
      </c>
      <c r="F1106" s="3">
        <v>0</v>
      </c>
      <c r="G1106" s="3">
        <v>0</v>
      </c>
      <c r="H1106" s="342">
        <v>0</v>
      </c>
      <c r="I1106" s="335"/>
    </row>
    <row r="1107" spans="1:9" x14ac:dyDescent="0.25">
      <c r="A1107" s="340" t="s">
        <v>1643</v>
      </c>
      <c r="B1107" s="335"/>
      <c r="C1107" s="1" t="s">
        <v>2</v>
      </c>
      <c r="D1107" s="4">
        <v>3465153.3</v>
      </c>
      <c r="E1107" s="4">
        <v>3838299.9</v>
      </c>
      <c r="F1107" s="4">
        <v>5135935.75</v>
      </c>
      <c r="G1107" s="49">
        <v>1977236.92</v>
      </c>
      <c r="H1107" s="343">
        <v>0</v>
      </c>
      <c r="I1107" s="335"/>
    </row>
    <row r="1108" spans="1:9" x14ac:dyDescent="0.25">
      <c r="A1108" s="340" t="s">
        <v>2</v>
      </c>
      <c r="B1108" s="335"/>
      <c r="C1108" s="1" t="s">
        <v>2</v>
      </c>
      <c r="D1108" s="1" t="s">
        <v>2</v>
      </c>
      <c r="E1108" s="1" t="s">
        <v>2</v>
      </c>
      <c r="F1108" s="1" t="s">
        <v>2</v>
      </c>
      <c r="G1108" s="1" t="s">
        <v>2</v>
      </c>
      <c r="H1108" s="340" t="s">
        <v>2</v>
      </c>
      <c r="I1108" s="335"/>
    </row>
    <row r="1109" spans="1:9" x14ac:dyDescent="0.25">
      <c r="A1109" s="340" t="s">
        <v>1644</v>
      </c>
      <c r="B1109" s="335"/>
      <c r="C1109" s="1" t="s">
        <v>2</v>
      </c>
    </row>
    <row r="1110" spans="1:9" ht="24" x14ac:dyDescent="0.25">
      <c r="A1110" s="341" t="s">
        <v>1646</v>
      </c>
      <c r="B1110" s="335"/>
      <c r="C1110" s="2" t="s">
        <v>1647</v>
      </c>
      <c r="D1110" s="3">
        <v>25000</v>
      </c>
      <c r="E1110" s="3">
        <v>25000</v>
      </c>
      <c r="F1110" s="3">
        <v>25000</v>
      </c>
      <c r="G1110" s="3">
        <v>0</v>
      </c>
      <c r="H1110" s="342">
        <v>0</v>
      </c>
      <c r="I1110" s="335"/>
    </row>
    <row r="1111" spans="1:9" ht="24" x14ac:dyDescent="0.25">
      <c r="A1111" s="341" t="s">
        <v>1648</v>
      </c>
      <c r="B1111" s="335"/>
      <c r="C1111" s="2" t="s">
        <v>1649</v>
      </c>
      <c r="D1111" s="3">
        <v>230000</v>
      </c>
      <c r="E1111" s="3">
        <v>240000</v>
      </c>
      <c r="F1111" s="3">
        <v>250000</v>
      </c>
      <c r="G1111" s="3">
        <v>0</v>
      </c>
      <c r="H1111" s="342">
        <v>0</v>
      </c>
      <c r="I1111" s="335"/>
    </row>
    <row r="1112" spans="1:9" ht="24" x14ac:dyDescent="0.25">
      <c r="A1112" s="341" t="s">
        <v>1650</v>
      </c>
      <c r="B1112" s="335"/>
      <c r="C1112" s="2" t="s">
        <v>1651</v>
      </c>
      <c r="D1112" s="3">
        <v>0</v>
      </c>
      <c r="E1112" s="3">
        <v>30240</v>
      </c>
      <c r="F1112" s="3">
        <v>18480</v>
      </c>
      <c r="G1112" s="3">
        <v>0</v>
      </c>
      <c r="H1112" s="342">
        <v>0</v>
      </c>
      <c r="I1112" s="335"/>
    </row>
    <row r="1113" spans="1:9" ht="24" x14ac:dyDescent="0.25">
      <c r="A1113" s="341" t="s">
        <v>1652</v>
      </c>
      <c r="B1113" s="335"/>
      <c r="C1113" s="2" t="s">
        <v>1653</v>
      </c>
      <c r="D1113" s="3">
        <v>0</v>
      </c>
      <c r="E1113" s="3">
        <v>170000</v>
      </c>
      <c r="F1113" s="3">
        <v>324000</v>
      </c>
      <c r="G1113" s="3">
        <v>165000</v>
      </c>
      <c r="H1113" s="342">
        <v>0</v>
      </c>
      <c r="I1113" s="335"/>
    </row>
    <row r="1114" spans="1:9" ht="24" x14ac:dyDescent="0.25">
      <c r="A1114" s="341" t="s">
        <v>1654</v>
      </c>
      <c r="B1114" s="335"/>
      <c r="C1114" s="2" t="s">
        <v>1655</v>
      </c>
      <c r="D1114" s="3">
        <v>45000</v>
      </c>
      <c r="E1114" s="3">
        <v>45000</v>
      </c>
      <c r="F1114" s="3">
        <v>45000</v>
      </c>
      <c r="G1114" s="3">
        <v>0</v>
      </c>
      <c r="H1114" s="342">
        <v>0</v>
      </c>
      <c r="I1114" s="335"/>
    </row>
    <row r="1115" spans="1:9" ht="24" x14ac:dyDescent="0.25">
      <c r="A1115" s="341" t="s">
        <v>1656</v>
      </c>
      <c r="B1115" s="335"/>
      <c r="C1115" s="2" t="s">
        <v>1657</v>
      </c>
      <c r="D1115" s="3">
        <v>370000</v>
      </c>
      <c r="E1115" s="3">
        <v>375000</v>
      </c>
      <c r="F1115" s="3">
        <v>390000</v>
      </c>
      <c r="G1115" s="3">
        <v>0</v>
      </c>
      <c r="H1115" s="342">
        <v>0</v>
      </c>
      <c r="I1115" s="335"/>
    </row>
    <row r="1116" spans="1:9" ht="24" x14ac:dyDescent="0.25">
      <c r="A1116" s="341" t="s">
        <v>1658</v>
      </c>
      <c r="B1116" s="335"/>
      <c r="C1116" s="2" t="s">
        <v>1659</v>
      </c>
      <c r="D1116" s="3">
        <v>0</v>
      </c>
      <c r="E1116" s="3">
        <v>5760</v>
      </c>
      <c r="F1116" s="3">
        <v>3520</v>
      </c>
      <c r="G1116" s="3">
        <v>0</v>
      </c>
      <c r="H1116" s="342">
        <v>0</v>
      </c>
      <c r="I1116" s="335"/>
    </row>
    <row r="1117" spans="1:9" ht="24" x14ac:dyDescent="0.25">
      <c r="A1117" s="341" t="s">
        <v>1661</v>
      </c>
      <c r="B1117" s="335"/>
      <c r="C1117" s="2" t="s">
        <v>1662</v>
      </c>
      <c r="D1117" s="3">
        <v>16112</v>
      </c>
      <c r="E1117" s="3">
        <v>15612.5</v>
      </c>
      <c r="F1117" s="3">
        <v>14862.5</v>
      </c>
      <c r="G1117" s="3">
        <v>7056.25</v>
      </c>
      <c r="H1117" s="342">
        <v>0</v>
      </c>
      <c r="I1117" s="335"/>
    </row>
    <row r="1118" spans="1:9" ht="24" x14ac:dyDescent="0.25">
      <c r="A1118" s="341" t="s">
        <v>1663</v>
      </c>
      <c r="B1118" s="335"/>
      <c r="C1118" s="2" t="s">
        <v>1664</v>
      </c>
      <c r="D1118" s="3">
        <v>167381.26</v>
      </c>
      <c r="E1118" s="3">
        <v>88834.63</v>
      </c>
      <c r="F1118" s="3">
        <v>9912</v>
      </c>
      <c r="G1118" s="3">
        <v>0</v>
      </c>
      <c r="H1118" s="342">
        <v>0</v>
      </c>
      <c r="I1118" s="335"/>
    </row>
    <row r="1119" spans="1:9" ht="24" x14ac:dyDescent="0.25">
      <c r="A1119" s="341" t="s">
        <v>1665</v>
      </c>
      <c r="B1119" s="335"/>
      <c r="C1119" s="2" t="s">
        <v>1666</v>
      </c>
      <c r="D1119" s="3">
        <v>0</v>
      </c>
      <c r="E1119" s="3">
        <v>31741.75</v>
      </c>
      <c r="F1119" s="3">
        <v>94760.4</v>
      </c>
      <c r="G1119" s="3">
        <v>40614</v>
      </c>
      <c r="H1119" s="342">
        <v>0</v>
      </c>
      <c r="I1119" s="335"/>
    </row>
    <row r="1120" spans="1:9" ht="24" x14ac:dyDescent="0.25">
      <c r="A1120" s="341" t="s">
        <v>1667</v>
      </c>
      <c r="B1120" s="335"/>
      <c r="C1120" s="2" t="s">
        <v>1668</v>
      </c>
      <c r="D1120" s="3">
        <v>0</v>
      </c>
      <c r="E1120" s="3">
        <v>59698.35</v>
      </c>
      <c r="F1120" s="3">
        <v>136114.79999999999</v>
      </c>
      <c r="G1120" s="3">
        <v>65038</v>
      </c>
      <c r="H1120" s="342">
        <v>0</v>
      </c>
      <c r="I1120" s="335"/>
    </row>
    <row r="1121" spans="1:9" ht="24" x14ac:dyDescent="0.25">
      <c r="A1121" s="341" t="s">
        <v>1669</v>
      </c>
      <c r="B1121" s="335"/>
      <c r="C1121" s="2" t="s">
        <v>1670</v>
      </c>
      <c r="D1121" s="3">
        <v>0</v>
      </c>
      <c r="E1121" s="3">
        <v>155962.21</v>
      </c>
      <c r="F1121" s="3">
        <v>0</v>
      </c>
      <c r="G1121" s="3">
        <v>0</v>
      </c>
      <c r="H1121" s="342">
        <v>0</v>
      </c>
      <c r="I1121" s="335"/>
    </row>
    <row r="1122" spans="1:9" ht="24" x14ac:dyDescent="0.25">
      <c r="A1122" s="341" t="s">
        <v>1671</v>
      </c>
      <c r="B1122" s="335"/>
      <c r="C1122" s="2" t="s">
        <v>1672</v>
      </c>
      <c r="D1122" s="3">
        <v>31875</v>
      </c>
      <c r="E1122" s="3">
        <v>16893.5</v>
      </c>
      <c r="F1122" s="3">
        <v>1888</v>
      </c>
      <c r="G1122" s="3">
        <v>0</v>
      </c>
      <c r="H1122" s="342">
        <v>0</v>
      </c>
      <c r="I1122" s="335"/>
    </row>
    <row r="1123" spans="1:9" x14ac:dyDescent="0.25">
      <c r="A1123" s="341" t="s">
        <v>1673</v>
      </c>
      <c r="B1123" s="335"/>
      <c r="C1123" s="2" t="s">
        <v>1181</v>
      </c>
      <c r="D1123" s="3">
        <v>600</v>
      </c>
      <c r="E1123" s="3">
        <v>770</v>
      </c>
      <c r="F1123" s="3">
        <v>716.93</v>
      </c>
      <c r="G1123" s="3">
        <v>170</v>
      </c>
      <c r="H1123" s="342">
        <v>0</v>
      </c>
      <c r="I1123" s="335"/>
    </row>
    <row r="1124" spans="1:9" ht="24" x14ac:dyDescent="0.25">
      <c r="A1124" s="341" t="s">
        <v>1674</v>
      </c>
      <c r="B1124" s="335"/>
      <c r="C1124" s="2" t="s">
        <v>1675</v>
      </c>
      <c r="D1124" s="3">
        <v>255100.5</v>
      </c>
      <c r="E1124" s="3">
        <v>247700</v>
      </c>
      <c r="F1124" s="3">
        <v>236450</v>
      </c>
      <c r="G1124" s="3">
        <v>112375</v>
      </c>
      <c r="H1124" s="342">
        <v>0</v>
      </c>
      <c r="I1124" s="335"/>
    </row>
    <row r="1125" spans="1:9" ht="24" x14ac:dyDescent="0.25">
      <c r="A1125" s="341" t="s">
        <v>1676</v>
      </c>
      <c r="B1125" s="335"/>
      <c r="C1125" s="2" t="s">
        <v>1677</v>
      </c>
      <c r="D1125" s="3">
        <v>0</v>
      </c>
      <c r="E1125" s="3">
        <v>6046</v>
      </c>
      <c r="F1125" s="3">
        <v>18049.599999999999</v>
      </c>
      <c r="G1125" s="3">
        <v>7736</v>
      </c>
      <c r="H1125" s="342">
        <v>0</v>
      </c>
      <c r="I1125" s="335"/>
    </row>
    <row r="1126" spans="1:9" ht="24" x14ac:dyDescent="0.25">
      <c r="A1126" s="341" t="s">
        <v>1678</v>
      </c>
      <c r="B1126" s="335"/>
      <c r="C1126" s="2" t="s">
        <v>1679</v>
      </c>
      <c r="D1126" s="3">
        <v>0</v>
      </c>
      <c r="E1126" s="3">
        <v>29707.09</v>
      </c>
      <c r="F1126" s="3">
        <v>0</v>
      </c>
      <c r="G1126" s="3">
        <v>0</v>
      </c>
      <c r="H1126" s="342">
        <v>0</v>
      </c>
      <c r="I1126" s="335"/>
    </row>
    <row r="1127" spans="1:9" x14ac:dyDescent="0.25">
      <c r="A1127" s="341" t="s">
        <v>1680</v>
      </c>
      <c r="B1127" s="335"/>
      <c r="C1127" s="2" t="s">
        <v>1681</v>
      </c>
      <c r="D1127" s="3">
        <v>0</v>
      </c>
      <c r="E1127" s="3">
        <v>0</v>
      </c>
      <c r="F1127" s="3">
        <v>0</v>
      </c>
      <c r="G1127" s="3">
        <v>0</v>
      </c>
      <c r="H1127" s="342">
        <v>0</v>
      </c>
      <c r="I1127" s="335"/>
    </row>
    <row r="1128" spans="1:9" x14ac:dyDescent="0.25">
      <c r="A1128" s="341" t="s">
        <v>1682</v>
      </c>
      <c r="B1128" s="335"/>
      <c r="C1128" s="2" t="s">
        <v>1683</v>
      </c>
      <c r="D1128" s="3">
        <v>0</v>
      </c>
      <c r="E1128" s="3">
        <v>3141600</v>
      </c>
      <c r="F1128" s="3">
        <v>0</v>
      </c>
      <c r="G1128" s="3">
        <v>0</v>
      </c>
      <c r="H1128" s="342">
        <v>0</v>
      </c>
      <c r="I1128" s="335"/>
    </row>
    <row r="1129" spans="1:9" x14ac:dyDescent="0.25">
      <c r="A1129" s="341" t="s">
        <v>1684</v>
      </c>
      <c r="B1129" s="335"/>
      <c r="C1129" s="2" t="s">
        <v>1683</v>
      </c>
      <c r="D1129" s="3">
        <v>0</v>
      </c>
      <c r="E1129" s="3">
        <v>0</v>
      </c>
      <c r="F1129" s="3">
        <v>0</v>
      </c>
      <c r="G1129" s="3">
        <v>0</v>
      </c>
      <c r="H1129" s="342">
        <v>0</v>
      </c>
      <c r="I1129" s="335"/>
    </row>
    <row r="1130" spans="1:9" x14ac:dyDescent="0.25">
      <c r="A1130" s="341" t="s">
        <v>1685</v>
      </c>
      <c r="B1130" s="335"/>
      <c r="C1130" s="2" t="s">
        <v>1686</v>
      </c>
      <c r="D1130" s="3">
        <v>0</v>
      </c>
      <c r="E1130" s="3">
        <v>598400</v>
      </c>
      <c r="F1130" s="3">
        <v>0</v>
      </c>
      <c r="G1130" s="3">
        <v>0</v>
      </c>
      <c r="H1130" s="342">
        <v>0</v>
      </c>
      <c r="I1130" s="335"/>
    </row>
    <row r="1131" spans="1:9" x14ac:dyDescent="0.25">
      <c r="A1131" s="341" t="s">
        <v>1687</v>
      </c>
      <c r="B1131" s="335"/>
      <c r="C1131" s="2" t="s">
        <v>1686</v>
      </c>
      <c r="D1131" s="3">
        <v>0</v>
      </c>
      <c r="E1131" s="3">
        <v>0</v>
      </c>
      <c r="F1131" s="3">
        <v>0</v>
      </c>
      <c r="G1131" s="3">
        <v>0</v>
      </c>
      <c r="H1131" s="342">
        <v>0</v>
      </c>
      <c r="I1131" s="335"/>
    </row>
    <row r="1132" spans="1:9" x14ac:dyDescent="0.25">
      <c r="A1132" s="341" t="s">
        <v>1688</v>
      </c>
      <c r="B1132" s="335"/>
      <c r="C1132" s="2" t="s">
        <v>1689</v>
      </c>
      <c r="D1132" s="3">
        <v>0</v>
      </c>
      <c r="E1132" s="3">
        <v>0</v>
      </c>
      <c r="F1132" s="3">
        <v>0</v>
      </c>
      <c r="G1132" s="3">
        <v>0</v>
      </c>
      <c r="H1132" s="342">
        <v>0</v>
      </c>
      <c r="I1132" s="335"/>
    </row>
    <row r="1133" spans="1:9" x14ac:dyDescent="0.25">
      <c r="A1133" s="340" t="s">
        <v>1690</v>
      </c>
      <c r="B1133" s="335"/>
      <c r="C1133" s="1" t="s">
        <v>2</v>
      </c>
      <c r="D1133" s="4">
        <v>1141068.76</v>
      </c>
      <c r="E1133" s="4">
        <v>5283966.03</v>
      </c>
      <c r="F1133" s="4">
        <v>1568754.23</v>
      </c>
      <c r="G1133" s="49">
        <v>397989.25</v>
      </c>
      <c r="H1133" s="343">
        <v>0</v>
      </c>
      <c r="I1133" s="335"/>
    </row>
    <row r="1134" spans="1:9" x14ac:dyDescent="0.25">
      <c r="A1134" s="340" t="s">
        <v>2</v>
      </c>
      <c r="B1134" s="335"/>
      <c r="C1134" s="1" t="s">
        <v>2</v>
      </c>
      <c r="D1134" s="1" t="s">
        <v>2</v>
      </c>
      <c r="E1134" s="1" t="s">
        <v>2</v>
      </c>
      <c r="F1134" s="1" t="s">
        <v>2</v>
      </c>
      <c r="G1134" s="1" t="s">
        <v>2</v>
      </c>
      <c r="H1134" s="340" t="s">
        <v>2</v>
      </c>
      <c r="I1134" s="335"/>
    </row>
    <row r="1135" spans="1:9" x14ac:dyDescent="0.25">
      <c r="A1135" s="340" t="s">
        <v>1691</v>
      </c>
      <c r="B1135" s="335"/>
      <c r="C1135" s="1" t="s">
        <v>2</v>
      </c>
    </row>
    <row r="1136" spans="1:9" x14ac:dyDescent="0.25">
      <c r="A1136" s="340" t="s">
        <v>3221</v>
      </c>
      <c r="B1136" s="335"/>
      <c r="C1136" s="1" t="s">
        <v>2</v>
      </c>
    </row>
    <row r="1137" spans="1:9" x14ac:dyDescent="0.25">
      <c r="A1137" s="341" t="s">
        <v>1692</v>
      </c>
      <c r="B1137" s="335"/>
      <c r="C1137" s="2" t="s">
        <v>1693</v>
      </c>
      <c r="D1137" s="3">
        <v>0</v>
      </c>
      <c r="E1137" s="3">
        <v>0</v>
      </c>
      <c r="F1137" s="3">
        <v>0</v>
      </c>
      <c r="G1137" s="3">
        <v>0</v>
      </c>
      <c r="H1137" s="342">
        <v>0</v>
      </c>
      <c r="I1137" s="335"/>
    </row>
    <row r="1138" spans="1:9" x14ac:dyDescent="0.25">
      <c r="A1138" s="341" t="s">
        <v>1694</v>
      </c>
      <c r="B1138" s="335"/>
      <c r="C1138" s="2" t="s">
        <v>1695</v>
      </c>
      <c r="D1138" s="3">
        <v>0</v>
      </c>
      <c r="E1138" s="3">
        <v>0</v>
      </c>
      <c r="F1138" s="3">
        <v>0</v>
      </c>
      <c r="G1138" s="3">
        <v>0</v>
      </c>
      <c r="H1138" s="342">
        <v>0</v>
      </c>
      <c r="I1138" s="335"/>
    </row>
    <row r="1139" spans="1:9" x14ac:dyDescent="0.25">
      <c r="A1139" s="341" t="s">
        <v>1696</v>
      </c>
      <c r="B1139" s="335"/>
      <c r="C1139" s="2" t="s">
        <v>1697</v>
      </c>
      <c r="D1139" s="3">
        <v>0</v>
      </c>
      <c r="E1139" s="3">
        <v>0</v>
      </c>
      <c r="F1139" s="3">
        <v>0</v>
      </c>
      <c r="G1139" s="3">
        <v>0</v>
      </c>
      <c r="H1139" s="342">
        <v>0</v>
      </c>
      <c r="I1139" s="335"/>
    </row>
    <row r="1140" spans="1:9" x14ac:dyDescent="0.25">
      <c r="A1140" s="340" t="s">
        <v>3220</v>
      </c>
      <c r="B1140" s="335"/>
      <c r="C1140" s="1" t="s">
        <v>2</v>
      </c>
      <c r="D1140" s="4">
        <v>0</v>
      </c>
      <c r="E1140" s="4">
        <v>0</v>
      </c>
      <c r="F1140" s="4">
        <v>0</v>
      </c>
      <c r="G1140" s="4">
        <v>0</v>
      </c>
      <c r="H1140" s="343">
        <v>0</v>
      </c>
      <c r="I1140" s="335"/>
    </row>
    <row r="1141" spans="1:9" x14ac:dyDescent="0.25">
      <c r="A1141" s="340" t="s">
        <v>2</v>
      </c>
      <c r="B1141" s="335"/>
      <c r="C1141" s="1" t="s">
        <v>2</v>
      </c>
      <c r="D1141" s="1" t="s">
        <v>2</v>
      </c>
      <c r="E1141" s="1" t="s">
        <v>2</v>
      </c>
      <c r="F1141" s="1" t="s">
        <v>2</v>
      </c>
      <c r="G1141" s="1" t="s">
        <v>2</v>
      </c>
      <c r="H1141" s="340" t="s">
        <v>2</v>
      </c>
      <c r="I1141" s="335"/>
    </row>
    <row r="1142" spans="1:9" x14ac:dyDescent="0.25">
      <c r="A1142" s="340" t="s">
        <v>1698</v>
      </c>
      <c r="B1142" s="335"/>
      <c r="C1142" s="1" t="s">
        <v>2</v>
      </c>
      <c r="D1142" s="4">
        <v>0</v>
      </c>
      <c r="E1142" s="4">
        <v>0</v>
      </c>
      <c r="F1142" s="4">
        <v>0</v>
      </c>
      <c r="G1142" s="49">
        <v>0</v>
      </c>
      <c r="H1142" s="343">
        <v>0</v>
      </c>
      <c r="I1142" s="335"/>
    </row>
    <row r="1143" spans="1:9" x14ac:dyDescent="0.25">
      <c r="A1143" s="340" t="s">
        <v>2</v>
      </c>
      <c r="B1143" s="335"/>
      <c r="C1143" s="1" t="s">
        <v>2</v>
      </c>
      <c r="D1143" s="1" t="s">
        <v>2</v>
      </c>
      <c r="E1143" s="1" t="s">
        <v>2</v>
      </c>
      <c r="F1143" s="1" t="s">
        <v>2</v>
      </c>
      <c r="G1143" s="1" t="s">
        <v>2</v>
      </c>
      <c r="H1143" s="340" t="s">
        <v>2</v>
      </c>
      <c r="I1143" s="335"/>
    </row>
    <row r="1144" spans="1:9" x14ac:dyDescent="0.25">
      <c r="A1144" s="340" t="s">
        <v>1699</v>
      </c>
      <c r="B1144" s="335"/>
      <c r="C1144" s="1" t="s">
        <v>2</v>
      </c>
    </row>
    <row r="1145" spans="1:9" x14ac:dyDescent="0.25">
      <c r="A1145" s="341" t="s">
        <v>1701</v>
      </c>
      <c r="B1145" s="335"/>
      <c r="C1145" s="2" t="s">
        <v>108</v>
      </c>
      <c r="D1145" s="3">
        <v>137416.19</v>
      </c>
      <c r="E1145" s="3">
        <v>185211.71</v>
      </c>
      <c r="F1145" s="3">
        <v>211745.82</v>
      </c>
      <c r="G1145" s="3">
        <v>131176.92000000001</v>
      </c>
      <c r="H1145" s="342">
        <v>0</v>
      </c>
      <c r="I1145" s="335"/>
    </row>
    <row r="1146" spans="1:9" x14ac:dyDescent="0.25">
      <c r="A1146" s="341" t="s">
        <v>1702</v>
      </c>
      <c r="B1146" s="335"/>
      <c r="C1146" s="2" t="s">
        <v>1703</v>
      </c>
      <c r="D1146" s="3">
        <v>9487.5300000000007</v>
      </c>
      <c r="E1146" s="3">
        <v>3561.47</v>
      </c>
      <c r="F1146" s="3">
        <v>4639.37</v>
      </c>
      <c r="G1146" s="3">
        <v>6457.14</v>
      </c>
      <c r="H1146" s="342">
        <v>0</v>
      </c>
      <c r="I1146" s="335"/>
    </row>
    <row r="1147" spans="1:9" x14ac:dyDescent="0.25">
      <c r="A1147" s="341" t="s">
        <v>1704</v>
      </c>
      <c r="B1147" s="335"/>
      <c r="C1147" s="2" t="s">
        <v>1705</v>
      </c>
      <c r="D1147" s="3">
        <v>130544.91</v>
      </c>
      <c r="E1147" s="3">
        <v>138384.39000000001</v>
      </c>
      <c r="F1147" s="3">
        <v>147316.26999999999</v>
      </c>
      <c r="G1147" s="3">
        <v>123263.57</v>
      </c>
      <c r="H1147" s="342">
        <v>0</v>
      </c>
      <c r="I1147" s="335"/>
    </row>
    <row r="1148" spans="1:9" x14ac:dyDescent="0.25">
      <c r="A1148" s="341" t="s">
        <v>1706</v>
      </c>
      <c r="B1148" s="335"/>
      <c r="C1148" s="2" t="s">
        <v>786</v>
      </c>
      <c r="D1148" s="3">
        <v>1792.25</v>
      </c>
      <c r="E1148" s="3">
        <v>1337.98</v>
      </c>
      <c r="F1148" s="3">
        <v>16545.990000000002</v>
      </c>
      <c r="G1148" s="3">
        <v>247.29</v>
      </c>
      <c r="H1148" s="342">
        <v>0</v>
      </c>
      <c r="I1148" s="335"/>
    </row>
    <row r="1149" spans="1:9" x14ac:dyDescent="0.25">
      <c r="A1149" s="341" t="s">
        <v>1707</v>
      </c>
      <c r="B1149" s="335"/>
      <c r="C1149" s="2" t="s">
        <v>29</v>
      </c>
      <c r="D1149" s="3">
        <v>56535.98</v>
      </c>
      <c r="E1149" s="3">
        <v>64256.94</v>
      </c>
      <c r="F1149" s="3">
        <v>73494.14</v>
      </c>
      <c r="G1149" s="3">
        <v>51387.51</v>
      </c>
      <c r="H1149" s="342">
        <v>0</v>
      </c>
      <c r="I1149" s="335"/>
    </row>
    <row r="1150" spans="1:9" x14ac:dyDescent="0.25">
      <c r="A1150" s="341" t="s">
        <v>1708</v>
      </c>
      <c r="B1150" s="335"/>
      <c r="C1150" s="2" t="s">
        <v>128</v>
      </c>
      <c r="D1150" s="3">
        <v>4186.5600000000004</v>
      </c>
      <c r="E1150" s="3">
        <v>4270.82</v>
      </c>
      <c r="F1150" s="3">
        <v>5158.3599999999997</v>
      </c>
      <c r="G1150" s="3">
        <v>2564.8000000000002</v>
      </c>
      <c r="H1150" s="342">
        <v>0</v>
      </c>
      <c r="I1150" s="335"/>
    </row>
    <row r="1151" spans="1:9" x14ac:dyDescent="0.25">
      <c r="A1151" s="341" t="s">
        <v>1709</v>
      </c>
      <c r="B1151" s="335"/>
      <c r="C1151" s="2" t="s">
        <v>33</v>
      </c>
      <c r="D1151" s="3">
        <v>36801.550000000003</v>
      </c>
      <c r="E1151" s="3">
        <v>44686.57</v>
      </c>
      <c r="F1151" s="3">
        <v>45345.120000000003</v>
      </c>
      <c r="G1151" s="3">
        <v>28773.79</v>
      </c>
      <c r="H1151" s="342">
        <v>0</v>
      </c>
      <c r="I1151" s="335"/>
    </row>
    <row r="1152" spans="1:9" ht="24" x14ac:dyDescent="0.25">
      <c r="A1152" s="341" t="s">
        <v>1710</v>
      </c>
      <c r="B1152" s="335"/>
      <c r="C1152" s="2" t="s">
        <v>113</v>
      </c>
      <c r="D1152" s="3">
        <v>20892.830000000002</v>
      </c>
      <c r="E1152" s="3">
        <v>24652.68</v>
      </c>
      <c r="F1152" s="3">
        <v>27433.17</v>
      </c>
      <c r="G1152" s="3">
        <v>19665.36</v>
      </c>
      <c r="H1152" s="342">
        <v>0</v>
      </c>
      <c r="I1152" s="335"/>
    </row>
    <row r="1153" spans="1:9" x14ac:dyDescent="0.25">
      <c r="A1153" s="341" t="s">
        <v>1711</v>
      </c>
      <c r="B1153" s="335"/>
      <c r="C1153" s="2" t="s">
        <v>13</v>
      </c>
      <c r="D1153" s="3">
        <v>191.57</v>
      </c>
      <c r="E1153" s="3">
        <v>473.7</v>
      </c>
      <c r="F1153" s="3">
        <v>558.33000000000004</v>
      </c>
      <c r="G1153" s="3">
        <v>555.58000000000004</v>
      </c>
      <c r="H1153" s="342">
        <v>0</v>
      </c>
      <c r="I1153" s="335"/>
    </row>
    <row r="1154" spans="1:9" x14ac:dyDescent="0.25">
      <c r="A1154" s="341" t="s">
        <v>1712</v>
      </c>
      <c r="B1154" s="335"/>
      <c r="C1154" s="2" t="s">
        <v>577</v>
      </c>
      <c r="D1154" s="3">
        <v>42.85</v>
      </c>
      <c r="E1154" s="3">
        <v>28.89</v>
      </c>
      <c r="F1154" s="3">
        <v>327.73</v>
      </c>
      <c r="G1154" s="3">
        <v>3.63</v>
      </c>
      <c r="H1154" s="342">
        <v>0</v>
      </c>
      <c r="I1154" s="335"/>
    </row>
    <row r="1155" spans="1:9" x14ac:dyDescent="0.25">
      <c r="A1155" s="341" t="s">
        <v>1713</v>
      </c>
      <c r="B1155" s="335"/>
      <c r="C1155" s="2" t="s">
        <v>579</v>
      </c>
      <c r="D1155" s="3">
        <v>255.81</v>
      </c>
      <c r="E1155" s="3">
        <v>191.78</v>
      </c>
      <c r="F1155" s="3">
        <v>1869.94</v>
      </c>
      <c r="G1155" s="3">
        <v>28.47</v>
      </c>
      <c r="H1155" s="342">
        <v>0</v>
      </c>
      <c r="I1155" s="335"/>
    </row>
    <row r="1156" spans="1:9" x14ac:dyDescent="0.25">
      <c r="A1156" s="341" t="s">
        <v>1714</v>
      </c>
      <c r="B1156" s="335"/>
      <c r="C1156" s="2" t="s">
        <v>581</v>
      </c>
      <c r="D1156" s="3">
        <v>135.77000000000001</v>
      </c>
      <c r="E1156" s="3">
        <v>100.94</v>
      </c>
      <c r="F1156" s="3">
        <v>1245.48</v>
      </c>
      <c r="G1156" s="3">
        <v>18.66</v>
      </c>
      <c r="H1156" s="342">
        <v>0</v>
      </c>
      <c r="I1156" s="335"/>
    </row>
    <row r="1157" spans="1:9" ht="24" x14ac:dyDescent="0.25">
      <c r="A1157" s="341" t="s">
        <v>1715</v>
      </c>
      <c r="B1157" s="335"/>
      <c r="C1157" s="2" t="s">
        <v>1716</v>
      </c>
      <c r="D1157" s="3">
        <v>303.13</v>
      </c>
      <c r="E1157" s="3">
        <v>370.9</v>
      </c>
      <c r="F1157" s="3">
        <v>393.62</v>
      </c>
      <c r="G1157" s="3">
        <v>123.59</v>
      </c>
      <c r="H1157" s="342">
        <v>0</v>
      </c>
      <c r="I1157" s="335"/>
    </row>
    <row r="1158" spans="1:9" x14ac:dyDescent="0.25">
      <c r="A1158" s="341" t="s">
        <v>1717</v>
      </c>
      <c r="B1158" s="335"/>
      <c r="C1158" s="2" t="s">
        <v>585</v>
      </c>
      <c r="D1158" s="3">
        <v>60</v>
      </c>
      <c r="E1158" s="3">
        <v>45</v>
      </c>
      <c r="F1158" s="3">
        <v>630</v>
      </c>
      <c r="G1158" s="3">
        <v>0</v>
      </c>
      <c r="H1158" s="342">
        <v>0</v>
      </c>
      <c r="I1158" s="335"/>
    </row>
    <row r="1159" spans="1:9" x14ac:dyDescent="0.25">
      <c r="A1159" s="341" t="s">
        <v>1718</v>
      </c>
      <c r="B1159" s="335"/>
      <c r="C1159" s="2" t="s">
        <v>37</v>
      </c>
      <c r="D1159" s="3">
        <v>203.67</v>
      </c>
      <c r="E1159" s="3">
        <v>53.98</v>
      </c>
      <c r="F1159" s="3">
        <v>214.84</v>
      </c>
      <c r="G1159" s="3">
        <v>260.02</v>
      </c>
      <c r="H1159" s="342">
        <v>0</v>
      </c>
      <c r="I1159" s="335"/>
    </row>
    <row r="1160" spans="1:9" x14ac:dyDescent="0.25">
      <c r="A1160" s="341" t="s">
        <v>1719</v>
      </c>
      <c r="B1160" s="335"/>
      <c r="C1160" s="2" t="s">
        <v>1720</v>
      </c>
      <c r="D1160" s="3">
        <v>2660.02</v>
      </c>
      <c r="E1160" s="3">
        <v>4664.83</v>
      </c>
      <c r="F1160" s="3">
        <v>10715.51</v>
      </c>
      <c r="G1160" s="3">
        <v>8185.04</v>
      </c>
      <c r="H1160" s="342">
        <v>0</v>
      </c>
      <c r="I1160" s="335"/>
    </row>
    <row r="1161" spans="1:9" x14ac:dyDescent="0.25">
      <c r="A1161" s="341" t="s">
        <v>1721</v>
      </c>
      <c r="B1161" s="335"/>
      <c r="C1161" s="2" t="s">
        <v>1722</v>
      </c>
      <c r="D1161" s="3">
        <v>2296.9</v>
      </c>
      <c r="E1161" s="3">
        <v>0</v>
      </c>
      <c r="F1161" s="3">
        <v>4469.12</v>
      </c>
      <c r="G1161" s="3">
        <v>0</v>
      </c>
      <c r="H1161" s="342">
        <v>0</v>
      </c>
      <c r="I1161" s="335"/>
    </row>
    <row r="1162" spans="1:9" x14ac:dyDescent="0.25">
      <c r="A1162" s="341" t="s">
        <v>1723</v>
      </c>
      <c r="B1162" s="335"/>
      <c r="C1162" s="2" t="s">
        <v>229</v>
      </c>
      <c r="D1162" s="3">
        <v>0</v>
      </c>
      <c r="E1162" s="3">
        <v>758.07</v>
      </c>
      <c r="F1162" s="3">
        <v>755.9</v>
      </c>
      <c r="G1162" s="3">
        <v>1495.28</v>
      </c>
      <c r="H1162" s="342">
        <v>0</v>
      </c>
      <c r="I1162" s="335"/>
    </row>
    <row r="1163" spans="1:9" x14ac:dyDescent="0.25">
      <c r="A1163" s="341" t="s">
        <v>1724</v>
      </c>
      <c r="B1163" s="335"/>
      <c r="C1163" s="2" t="s">
        <v>940</v>
      </c>
      <c r="D1163" s="3">
        <v>709.55</v>
      </c>
      <c r="E1163" s="3">
        <v>1108.92</v>
      </c>
      <c r="F1163" s="3">
        <v>706.83</v>
      </c>
      <c r="G1163" s="3">
        <v>253.8</v>
      </c>
      <c r="H1163" s="342">
        <v>0</v>
      </c>
      <c r="I1163" s="335"/>
    </row>
    <row r="1164" spans="1:9" x14ac:dyDescent="0.25">
      <c r="A1164" s="341" t="s">
        <v>1725</v>
      </c>
      <c r="B1164" s="335"/>
      <c r="C1164" s="2" t="s">
        <v>907</v>
      </c>
      <c r="D1164" s="3">
        <v>69413.87</v>
      </c>
      <c r="E1164" s="3">
        <v>83379.05</v>
      </c>
      <c r="F1164" s="3">
        <v>98251.95</v>
      </c>
      <c r="G1164" s="3">
        <v>83379.05</v>
      </c>
      <c r="H1164" s="342">
        <v>0</v>
      </c>
      <c r="I1164" s="335"/>
    </row>
    <row r="1165" spans="1:9" x14ac:dyDescent="0.25">
      <c r="A1165" s="341" t="s">
        <v>1726</v>
      </c>
      <c r="B1165" s="335"/>
      <c r="C1165" s="2" t="s">
        <v>43</v>
      </c>
      <c r="D1165" s="3">
        <v>38048.910000000003</v>
      </c>
      <c r="E1165" s="3">
        <v>40545.230000000003</v>
      </c>
      <c r="F1165" s="3">
        <v>51207.72</v>
      </c>
      <c r="G1165" s="3">
        <v>40545.230000000003</v>
      </c>
      <c r="H1165" s="342">
        <v>0</v>
      </c>
      <c r="I1165" s="335"/>
    </row>
    <row r="1166" spans="1:9" ht="24" x14ac:dyDescent="0.25">
      <c r="A1166" s="341" t="s">
        <v>1727</v>
      </c>
      <c r="B1166" s="335"/>
      <c r="C1166" s="2" t="s">
        <v>1728</v>
      </c>
      <c r="D1166" s="3">
        <v>5308.6</v>
      </c>
      <c r="E1166" s="3">
        <v>9193.59</v>
      </c>
      <c r="F1166" s="3">
        <v>17868.27</v>
      </c>
      <c r="G1166" s="3">
        <v>9193.59</v>
      </c>
      <c r="H1166" s="342">
        <v>0</v>
      </c>
      <c r="I1166" s="335"/>
    </row>
    <row r="1167" spans="1:9" x14ac:dyDescent="0.25">
      <c r="A1167" s="341" t="s">
        <v>1729</v>
      </c>
      <c r="B1167" s="335"/>
      <c r="C1167" s="2" t="s">
        <v>1730</v>
      </c>
      <c r="D1167" s="3">
        <v>40354.67</v>
      </c>
      <c r="E1167" s="3">
        <v>23742.61</v>
      </c>
      <c r="F1167" s="3">
        <v>13287.79</v>
      </c>
      <c r="G1167" s="3">
        <v>19168.27</v>
      </c>
      <c r="H1167" s="342">
        <v>0</v>
      </c>
      <c r="I1167" s="335"/>
    </row>
    <row r="1168" spans="1:9" ht="24" x14ac:dyDescent="0.25">
      <c r="A1168" s="341" t="s">
        <v>1731</v>
      </c>
      <c r="B1168" s="335"/>
      <c r="C1168" s="2" t="s">
        <v>1732</v>
      </c>
      <c r="D1168" s="3">
        <v>0</v>
      </c>
      <c r="E1168" s="3">
        <v>0</v>
      </c>
      <c r="F1168" s="3">
        <v>0</v>
      </c>
      <c r="G1168" s="3">
        <v>0</v>
      </c>
      <c r="H1168" s="342">
        <v>0</v>
      </c>
      <c r="I1168" s="335"/>
    </row>
    <row r="1169" spans="1:9" x14ac:dyDescent="0.25">
      <c r="A1169" s="341" t="s">
        <v>1733</v>
      </c>
      <c r="B1169" s="335"/>
      <c r="C1169" s="2" t="s">
        <v>1734</v>
      </c>
      <c r="D1169" s="3">
        <v>0</v>
      </c>
      <c r="E1169" s="3">
        <v>0</v>
      </c>
      <c r="F1169" s="3">
        <v>0</v>
      </c>
      <c r="G1169" s="3">
        <v>0</v>
      </c>
      <c r="H1169" s="342">
        <v>0</v>
      </c>
      <c r="I1169" s="335"/>
    </row>
    <row r="1170" spans="1:9" ht="24" x14ac:dyDescent="0.25">
      <c r="A1170" s="341" t="s">
        <v>1735</v>
      </c>
      <c r="B1170" s="335"/>
      <c r="C1170" s="2" t="s">
        <v>1736</v>
      </c>
      <c r="D1170" s="3">
        <v>6163.79</v>
      </c>
      <c r="E1170" s="3">
        <v>25313.14</v>
      </c>
      <c r="F1170" s="3">
        <v>5159.1499999999996</v>
      </c>
      <c r="G1170" s="3">
        <v>3174.8</v>
      </c>
      <c r="H1170" s="342">
        <v>0</v>
      </c>
      <c r="I1170" s="335"/>
    </row>
    <row r="1171" spans="1:9" ht="24" x14ac:dyDescent="0.25">
      <c r="A1171" s="341" t="s">
        <v>1737</v>
      </c>
      <c r="B1171" s="335"/>
      <c r="C1171" s="2" t="s">
        <v>1738</v>
      </c>
      <c r="D1171" s="3">
        <v>0</v>
      </c>
      <c r="E1171" s="3">
        <v>0</v>
      </c>
      <c r="F1171" s="3">
        <v>0</v>
      </c>
      <c r="G1171" s="3">
        <v>0</v>
      </c>
      <c r="H1171" s="342">
        <v>0</v>
      </c>
      <c r="I1171" s="335"/>
    </row>
    <row r="1172" spans="1:9" x14ac:dyDescent="0.25">
      <c r="A1172" s="341" t="s">
        <v>1739</v>
      </c>
      <c r="B1172" s="335"/>
      <c r="C1172" s="2" t="s">
        <v>604</v>
      </c>
      <c r="D1172" s="3">
        <v>1180.48</v>
      </c>
      <c r="E1172" s="3">
        <v>0</v>
      </c>
      <c r="F1172" s="3">
        <v>0</v>
      </c>
      <c r="G1172" s="3">
        <v>0</v>
      </c>
      <c r="H1172" s="342">
        <v>0</v>
      </c>
      <c r="I1172" s="335"/>
    </row>
    <row r="1173" spans="1:9" x14ac:dyDescent="0.25">
      <c r="A1173" s="341" t="s">
        <v>1740</v>
      </c>
      <c r="B1173" s="335"/>
      <c r="C1173" s="2" t="s">
        <v>1741</v>
      </c>
      <c r="D1173" s="3">
        <v>20060</v>
      </c>
      <c r="E1173" s="3">
        <v>0</v>
      </c>
      <c r="F1173" s="3">
        <v>0</v>
      </c>
      <c r="G1173" s="3">
        <v>0</v>
      </c>
      <c r="H1173" s="342">
        <v>0</v>
      </c>
      <c r="I1173" s="335"/>
    </row>
    <row r="1174" spans="1:9" ht="24" x14ac:dyDescent="0.25">
      <c r="A1174" s="341" t="s">
        <v>1742</v>
      </c>
      <c r="B1174" s="335"/>
      <c r="C1174" s="2" t="s">
        <v>1743</v>
      </c>
      <c r="D1174" s="3">
        <v>26804.77</v>
      </c>
      <c r="E1174" s="3">
        <v>28127.99</v>
      </c>
      <c r="F1174" s="3">
        <v>19976.41</v>
      </c>
      <c r="G1174" s="3">
        <v>3259.64</v>
      </c>
      <c r="H1174" s="342">
        <v>0</v>
      </c>
      <c r="I1174" s="335"/>
    </row>
    <row r="1175" spans="1:9" ht="24" x14ac:dyDescent="0.25">
      <c r="A1175" s="341" t="s">
        <v>1744</v>
      </c>
      <c r="B1175" s="335"/>
      <c r="C1175" s="2" t="s">
        <v>1745</v>
      </c>
      <c r="D1175" s="3">
        <v>-26804.77</v>
      </c>
      <c r="E1175" s="3">
        <v>-28127.99</v>
      </c>
      <c r="F1175" s="3">
        <v>-19976.41</v>
      </c>
      <c r="G1175" s="3">
        <v>0</v>
      </c>
      <c r="H1175" s="342">
        <v>0</v>
      </c>
      <c r="I1175" s="335"/>
    </row>
    <row r="1176" spans="1:9" ht="24" x14ac:dyDescent="0.25">
      <c r="A1176" s="341" t="s">
        <v>1746</v>
      </c>
      <c r="B1176" s="335"/>
      <c r="C1176" s="2" t="s">
        <v>1747</v>
      </c>
      <c r="D1176" s="3">
        <v>0</v>
      </c>
      <c r="E1176" s="3">
        <v>2859.4</v>
      </c>
      <c r="F1176" s="3">
        <v>80579.81</v>
      </c>
      <c r="G1176" s="3">
        <v>68797.33</v>
      </c>
      <c r="H1176" s="342">
        <v>0</v>
      </c>
      <c r="I1176" s="335"/>
    </row>
    <row r="1177" spans="1:9" x14ac:dyDescent="0.25">
      <c r="A1177" s="341" t="s">
        <v>1748</v>
      </c>
      <c r="B1177" s="335"/>
      <c r="C1177" s="2" t="s">
        <v>99</v>
      </c>
      <c r="D1177" s="3">
        <v>3046.39</v>
      </c>
      <c r="E1177" s="3">
        <v>3792.4</v>
      </c>
      <c r="F1177" s="3">
        <v>4005.72</v>
      </c>
      <c r="G1177" s="3">
        <v>2546.64</v>
      </c>
      <c r="H1177" s="342">
        <v>0</v>
      </c>
      <c r="I1177" s="335"/>
    </row>
    <row r="1178" spans="1:9" x14ac:dyDescent="0.25">
      <c r="A1178" s="341" t="s">
        <v>1749</v>
      </c>
      <c r="B1178" s="335"/>
      <c r="C1178" s="2" t="s">
        <v>59</v>
      </c>
      <c r="D1178" s="3">
        <v>168.9</v>
      </c>
      <c r="E1178" s="3">
        <v>143.24</v>
      </c>
      <c r="F1178" s="3">
        <v>28.99</v>
      </c>
      <c r="G1178" s="3">
        <v>230.57</v>
      </c>
      <c r="H1178" s="342">
        <v>0</v>
      </c>
      <c r="I1178" s="335"/>
    </row>
    <row r="1179" spans="1:9" x14ac:dyDescent="0.25">
      <c r="A1179" s="341" t="s">
        <v>1750</v>
      </c>
      <c r="B1179" s="335"/>
      <c r="C1179" s="2" t="s">
        <v>17</v>
      </c>
      <c r="D1179" s="3">
        <v>1364.96</v>
      </c>
      <c r="E1179" s="3">
        <v>0</v>
      </c>
      <c r="F1179" s="3">
        <v>0</v>
      </c>
      <c r="G1179" s="3">
        <v>0</v>
      </c>
      <c r="H1179" s="342">
        <v>0</v>
      </c>
      <c r="I1179" s="335"/>
    </row>
    <row r="1180" spans="1:9" x14ac:dyDescent="0.25">
      <c r="A1180" s="341" t="s">
        <v>1751</v>
      </c>
      <c r="B1180" s="335"/>
      <c r="C1180" s="2" t="s">
        <v>144</v>
      </c>
      <c r="D1180" s="3">
        <v>1785</v>
      </c>
      <c r="E1180" s="3">
        <v>515.01</v>
      </c>
      <c r="F1180" s="3">
        <v>0</v>
      </c>
      <c r="G1180" s="3">
        <v>0</v>
      </c>
      <c r="H1180" s="342">
        <v>0</v>
      </c>
      <c r="I1180" s="335"/>
    </row>
    <row r="1181" spans="1:9" x14ac:dyDescent="0.25">
      <c r="A1181" s="341" t="s">
        <v>1752</v>
      </c>
      <c r="B1181" s="335"/>
      <c r="C1181" s="2" t="s">
        <v>1753</v>
      </c>
      <c r="D1181" s="3">
        <v>20147.96</v>
      </c>
      <c r="E1181" s="3">
        <v>16391.150000000001</v>
      </c>
      <c r="F1181" s="3">
        <v>17093.580000000002</v>
      </c>
      <c r="G1181" s="3">
        <v>24783.84</v>
      </c>
      <c r="H1181" s="342">
        <v>0</v>
      </c>
      <c r="I1181" s="335"/>
    </row>
    <row r="1182" spans="1:9" x14ac:dyDescent="0.25">
      <c r="A1182" s="341" t="s">
        <v>1754</v>
      </c>
      <c r="B1182" s="335"/>
      <c r="C1182" s="2" t="s">
        <v>1755</v>
      </c>
      <c r="D1182" s="3">
        <v>6716.19</v>
      </c>
      <c r="E1182" s="3">
        <v>7327.35</v>
      </c>
      <c r="F1182" s="3">
        <v>6675</v>
      </c>
      <c r="G1182" s="3">
        <v>7227.63</v>
      </c>
      <c r="H1182" s="342">
        <v>0</v>
      </c>
      <c r="I1182" s="335"/>
    </row>
    <row r="1183" spans="1:9" x14ac:dyDescent="0.25">
      <c r="A1183" s="341" t="s">
        <v>1756</v>
      </c>
      <c r="B1183" s="335"/>
      <c r="C1183" s="2" t="s">
        <v>1757</v>
      </c>
      <c r="D1183" s="3">
        <v>20.67</v>
      </c>
      <c r="E1183" s="3">
        <v>0</v>
      </c>
      <c r="F1183" s="3">
        <v>0</v>
      </c>
      <c r="G1183" s="3">
        <v>195.66</v>
      </c>
      <c r="H1183" s="342">
        <v>0</v>
      </c>
      <c r="I1183" s="335"/>
    </row>
    <row r="1184" spans="1:9" x14ac:dyDescent="0.25">
      <c r="A1184" s="341" t="s">
        <v>1758</v>
      </c>
      <c r="B1184" s="335"/>
      <c r="C1184" s="2" t="s">
        <v>1759</v>
      </c>
      <c r="D1184" s="3">
        <v>897.74</v>
      </c>
      <c r="E1184" s="3">
        <v>220.57</v>
      </c>
      <c r="F1184" s="3">
        <v>1892.5</v>
      </c>
      <c r="G1184" s="3">
        <v>0</v>
      </c>
      <c r="H1184" s="342">
        <v>0</v>
      </c>
      <c r="I1184" s="335"/>
    </row>
    <row r="1185" spans="1:9" x14ac:dyDescent="0.25">
      <c r="A1185" s="341" t="s">
        <v>1760</v>
      </c>
      <c r="B1185" s="335"/>
      <c r="C1185" s="2" t="s">
        <v>64</v>
      </c>
      <c r="D1185" s="3">
        <v>956.09</v>
      </c>
      <c r="E1185" s="3">
        <v>1473.72</v>
      </c>
      <c r="F1185" s="3">
        <v>649.94000000000005</v>
      </c>
      <c r="G1185" s="3">
        <v>705.39</v>
      </c>
      <c r="H1185" s="342">
        <v>0</v>
      </c>
      <c r="I1185" s="335"/>
    </row>
    <row r="1186" spans="1:9" x14ac:dyDescent="0.25">
      <c r="A1186" s="341" t="s">
        <v>1761</v>
      </c>
      <c r="B1186" s="335"/>
      <c r="C1186" s="2" t="s">
        <v>1762</v>
      </c>
      <c r="D1186" s="3">
        <v>2312.2199999999998</v>
      </c>
      <c r="E1186" s="3">
        <v>7586.01</v>
      </c>
      <c r="F1186" s="3">
        <v>5435.57</v>
      </c>
      <c r="G1186" s="3">
        <v>5585.02</v>
      </c>
      <c r="H1186" s="342">
        <v>0</v>
      </c>
      <c r="I1186" s="335"/>
    </row>
    <row r="1187" spans="1:9" x14ac:dyDescent="0.25">
      <c r="A1187" s="341" t="s">
        <v>1763</v>
      </c>
      <c r="B1187" s="335"/>
      <c r="C1187" s="2" t="s">
        <v>1303</v>
      </c>
      <c r="D1187" s="3">
        <v>16050.98</v>
      </c>
      <c r="E1187" s="3">
        <v>22678.31</v>
      </c>
      <c r="F1187" s="3">
        <v>25764.9</v>
      </c>
      <c r="G1187" s="3">
        <v>18904.080000000002</v>
      </c>
      <c r="H1187" s="342">
        <v>0</v>
      </c>
      <c r="I1187" s="335"/>
    </row>
    <row r="1188" spans="1:9" x14ac:dyDescent="0.25">
      <c r="A1188" s="341" t="s">
        <v>1764</v>
      </c>
      <c r="B1188" s="335"/>
      <c r="C1188" s="2" t="s">
        <v>1765</v>
      </c>
      <c r="D1188" s="3">
        <v>151461.28</v>
      </c>
      <c r="E1188" s="3">
        <v>143767.53</v>
      </c>
      <c r="F1188" s="3">
        <v>148258</v>
      </c>
      <c r="G1188" s="3">
        <v>116643</v>
      </c>
      <c r="H1188" s="342">
        <v>0</v>
      </c>
      <c r="I1188" s="335"/>
    </row>
    <row r="1189" spans="1:9" x14ac:dyDescent="0.25">
      <c r="A1189" s="341" t="s">
        <v>1767</v>
      </c>
      <c r="B1189" s="335"/>
      <c r="C1189" s="2" t="s">
        <v>1393</v>
      </c>
      <c r="D1189" s="3">
        <v>0</v>
      </c>
      <c r="E1189" s="3">
        <v>0</v>
      </c>
      <c r="F1189" s="3">
        <v>0</v>
      </c>
      <c r="G1189" s="3">
        <v>0</v>
      </c>
      <c r="H1189" s="342">
        <v>0</v>
      </c>
      <c r="I1189" s="335"/>
    </row>
    <row r="1190" spans="1:9" x14ac:dyDescent="0.25">
      <c r="A1190" s="341" t="s">
        <v>1768</v>
      </c>
      <c r="B1190" s="335"/>
      <c r="C1190" s="2" t="s">
        <v>1769</v>
      </c>
      <c r="D1190" s="3">
        <v>0</v>
      </c>
      <c r="E1190" s="3">
        <v>0</v>
      </c>
      <c r="F1190" s="3">
        <v>0</v>
      </c>
      <c r="G1190" s="3">
        <v>0</v>
      </c>
      <c r="H1190" s="342">
        <v>0</v>
      </c>
      <c r="I1190" s="335"/>
    </row>
    <row r="1191" spans="1:9" x14ac:dyDescent="0.25">
      <c r="A1191" s="341" t="s">
        <v>1770</v>
      </c>
      <c r="B1191" s="335"/>
      <c r="C1191" s="2" t="s">
        <v>1771</v>
      </c>
      <c r="D1191" s="3">
        <v>0</v>
      </c>
      <c r="E1191" s="3">
        <v>0</v>
      </c>
      <c r="F1191" s="3">
        <v>0</v>
      </c>
      <c r="G1191" s="3">
        <v>0</v>
      </c>
      <c r="H1191" s="342">
        <v>0</v>
      </c>
      <c r="I1191" s="335"/>
    </row>
    <row r="1192" spans="1:9" x14ac:dyDescent="0.25">
      <c r="A1192" s="341" t="s">
        <v>1772</v>
      </c>
      <c r="B1192" s="335"/>
      <c r="C1192" s="2" t="s">
        <v>1426</v>
      </c>
      <c r="D1192" s="3">
        <v>0</v>
      </c>
      <c r="E1192" s="3">
        <v>8864.51</v>
      </c>
      <c r="F1192" s="3">
        <v>0</v>
      </c>
      <c r="G1192" s="3">
        <v>0</v>
      </c>
      <c r="H1192" s="342">
        <v>0</v>
      </c>
      <c r="I1192" s="335"/>
    </row>
    <row r="1193" spans="1:9" x14ac:dyDescent="0.25">
      <c r="A1193" s="341" t="s">
        <v>1773</v>
      </c>
      <c r="B1193" s="335"/>
      <c r="C1193" s="2" t="s">
        <v>1774</v>
      </c>
      <c r="D1193" s="3">
        <v>0</v>
      </c>
      <c r="E1193" s="3">
        <v>0</v>
      </c>
      <c r="F1193" s="3">
        <v>0</v>
      </c>
      <c r="G1193" s="3">
        <v>44248.11</v>
      </c>
      <c r="H1193" s="342">
        <v>0</v>
      </c>
      <c r="I1193" s="335"/>
    </row>
    <row r="1194" spans="1:9" x14ac:dyDescent="0.25">
      <c r="A1194" s="341" t="s">
        <v>1775</v>
      </c>
      <c r="B1194" s="335"/>
      <c r="C1194" s="2" t="s">
        <v>1776</v>
      </c>
      <c r="D1194" s="3">
        <v>0</v>
      </c>
      <c r="E1194" s="3">
        <v>95744.41</v>
      </c>
      <c r="F1194" s="3">
        <v>0</v>
      </c>
      <c r="G1194" s="3">
        <v>0</v>
      </c>
      <c r="H1194" s="342">
        <v>0</v>
      </c>
      <c r="I1194" s="335"/>
    </row>
    <row r="1195" spans="1:9" x14ac:dyDescent="0.25">
      <c r="A1195" s="341" t="s">
        <v>1777</v>
      </c>
      <c r="B1195" s="335"/>
      <c r="C1195" s="2" t="s">
        <v>1778</v>
      </c>
      <c r="D1195" s="3">
        <v>0</v>
      </c>
      <c r="E1195" s="3">
        <v>2798.41</v>
      </c>
      <c r="F1195" s="3">
        <v>0</v>
      </c>
      <c r="G1195" s="3">
        <v>0</v>
      </c>
      <c r="H1195" s="342">
        <v>0</v>
      </c>
      <c r="I1195" s="335"/>
    </row>
    <row r="1196" spans="1:9" x14ac:dyDescent="0.25">
      <c r="A1196" s="341" t="s">
        <v>1779</v>
      </c>
      <c r="B1196" s="335"/>
      <c r="C1196" s="2" t="s">
        <v>1432</v>
      </c>
      <c r="D1196" s="3">
        <v>0</v>
      </c>
      <c r="E1196" s="3">
        <v>0</v>
      </c>
      <c r="F1196" s="3">
        <v>0</v>
      </c>
      <c r="G1196" s="3">
        <v>0</v>
      </c>
      <c r="H1196" s="342">
        <v>0</v>
      </c>
      <c r="I1196" s="335"/>
    </row>
    <row r="1197" spans="1:9" x14ac:dyDescent="0.25">
      <c r="A1197" s="341" t="s">
        <v>3222</v>
      </c>
      <c r="B1197" s="335"/>
      <c r="C1197" s="2" t="s">
        <v>1402</v>
      </c>
      <c r="D1197" s="3">
        <v>12606.12</v>
      </c>
      <c r="E1197" s="3">
        <v>0</v>
      </c>
      <c r="F1197" s="3">
        <v>0</v>
      </c>
      <c r="G1197" s="3">
        <v>0</v>
      </c>
      <c r="H1197" s="342">
        <v>0</v>
      </c>
      <c r="I1197" s="335"/>
    </row>
    <row r="1198" spans="1:9" ht="24" x14ac:dyDescent="0.25">
      <c r="A1198" s="341" t="s">
        <v>1780</v>
      </c>
      <c r="B1198" s="335"/>
      <c r="C1198" s="2" t="s">
        <v>1781</v>
      </c>
      <c r="D1198" s="3">
        <v>0</v>
      </c>
      <c r="E1198" s="3">
        <v>0</v>
      </c>
      <c r="F1198" s="3">
        <v>0</v>
      </c>
      <c r="G1198" s="3">
        <v>0</v>
      </c>
      <c r="H1198" s="342">
        <v>0</v>
      </c>
      <c r="I1198" s="335"/>
    </row>
    <row r="1199" spans="1:9" ht="24" x14ac:dyDescent="0.25">
      <c r="A1199" s="341" t="s">
        <v>1782</v>
      </c>
      <c r="B1199" s="335"/>
      <c r="C1199" s="2" t="s">
        <v>1783</v>
      </c>
      <c r="D1199" s="3">
        <v>0</v>
      </c>
      <c r="E1199" s="3">
        <v>0</v>
      </c>
      <c r="F1199" s="3">
        <v>0</v>
      </c>
      <c r="G1199" s="3">
        <v>0</v>
      </c>
      <c r="H1199" s="342">
        <v>0</v>
      </c>
      <c r="I1199" s="335"/>
    </row>
    <row r="1200" spans="1:9" ht="24" x14ac:dyDescent="0.25">
      <c r="A1200" s="341" t="s">
        <v>1784</v>
      </c>
      <c r="B1200" s="335"/>
      <c r="C1200" s="2" t="s">
        <v>1785</v>
      </c>
      <c r="D1200" s="3">
        <v>0</v>
      </c>
      <c r="E1200" s="3">
        <v>0</v>
      </c>
      <c r="F1200" s="3">
        <v>0</v>
      </c>
      <c r="G1200" s="3">
        <v>0</v>
      </c>
      <c r="H1200" s="342">
        <v>0</v>
      </c>
      <c r="I1200" s="335"/>
    </row>
    <row r="1201" spans="1:9" ht="24" x14ac:dyDescent="0.25">
      <c r="A1201" s="341" t="s">
        <v>1786</v>
      </c>
      <c r="B1201" s="335"/>
      <c r="C1201" s="2" t="s">
        <v>1787</v>
      </c>
      <c r="D1201" s="3">
        <v>0</v>
      </c>
      <c r="E1201" s="3">
        <v>0</v>
      </c>
      <c r="F1201" s="3">
        <v>0</v>
      </c>
      <c r="G1201" s="3">
        <v>0</v>
      </c>
      <c r="H1201" s="342">
        <v>0</v>
      </c>
      <c r="I1201" s="335"/>
    </row>
    <row r="1202" spans="1:9" x14ac:dyDescent="0.25">
      <c r="A1202" s="341" t="s">
        <v>1788</v>
      </c>
      <c r="B1202" s="335"/>
      <c r="C1202" s="2" t="s">
        <v>1789</v>
      </c>
      <c r="D1202" s="3">
        <v>96851.66</v>
      </c>
      <c r="E1202" s="3">
        <v>0</v>
      </c>
      <c r="F1202" s="3">
        <v>0</v>
      </c>
      <c r="G1202" s="3">
        <v>0</v>
      </c>
      <c r="H1202" s="342">
        <v>0</v>
      </c>
      <c r="I1202" s="335"/>
    </row>
    <row r="1203" spans="1:9" x14ac:dyDescent="0.25">
      <c r="A1203" s="341" t="s">
        <v>1790</v>
      </c>
      <c r="B1203" s="335"/>
      <c r="C1203" s="2" t="s">
        <v>1791</v>
      </c>
      <c r="D1203" s="3">
        <v>0</v>
      </c>
      <c r="E1203" s="3">
        <v>0</v>
      </c>
      <c r="F1203" s="3">
        <v>0</v>
      </c>
      <c r="G1203" s="3">
        <v>2431.33</v>
      </c>
      <c r="H1203" s="342">
        <v>0</v>
      </c>
      <c r="I1203" s="335"/>
    </row>
    <row r="1204" spans="1:9" x14ac:dyDescent="0.25">
      <c r="A1204" s="341" t="s">
        <v>1792</v>
      </c>
      <c r="B1204" s="335"/>
      <c r="C1204" s="2" t="s">
        <v>1793</v>
      </c>
      <c r="D1204" s="3">
        <v>42241.47</v>
      </c>
      <c r="E1204" s="3">
        <v>15823.5</v>
      </c>
      <c r="F1204" s="3">
        <v>101517.96</v>
      </c>
      <c r="G1204" s="3">
        <v>4420.82</v>
      </c>
      <c r="H1204" s="342">
        <v>0</v>
      </c>
      <c r="I1204" s="335"/>
    </row>
    <row r="1205" spans="1:9" x14ac:dyDescent="0.25">
      <c r="A1205" s="341" t="s">
        <v>1794</v>
      </c>
      <c r="B1205" s="335"/>
      <c r="C1205" s="2" t="s">
        <v>1795</v>
      </c>
      <c r="D1205" s="3">
        <v>0</v>
      </c>
      <c r="E1205" s="3">
        <v>27207.74</v>
      </c>
      <c r="F1205" s="3">
        <v>0</v>
      </c>
      <c r="G1205" s="3">
        <v>0</v>
      </c>
      <c r="H1205" s="342">
        <v>0</v>
      </c>
      <c r="I1205" s="335"/>
    </row>
    <row r="1206" spans="1:9" ht="24" x14ac:dyDescent="0.25">
      <c r="A1206" s="341" t="s">
        <v>1796</v>
      </c>
      <c r="B1206" s="335"/>
      <c r="C1206" s="2" t="s">
        <v>1797</v>
      </c>
      <c r="D1206" s="3">
        <v>0</v>
      </c>
      <c r="E1206" s="3">
        <v>1923.01</v>
      </c>
      <c r="F1206" s="3">
        <v>0</v>
      </c>
      <c r="G1206" s="3">
        <v>0</v>
      </c>
      <c r="H1206" s="342">
        <v>0</v>
      </c>
      <c r="I1206" s="335"/>
    </row>
    <row r="1207" spans="1:9" ht="24" x14ac:dyDescent="0.25">
      <c r="A1207" s="341" t="s">
        <v>1798</v>
      </c>
      <c r="B1207" s="335"/>
      <c r="C1207" s="2" t="s">
        <v>1799</v>
      </c>
      <c r="D1207" s="3">
        <v>28034.47</v>
      </c>
      <c r="E1207" s="3">
        <v>395.23</v>
      </c>
      <c r="F1207" s="3">
        <v>0</v>
      </c>
      <c r="G1207" s="3">
        <v>0</v>
      </c>
      <c r="H1207" s="342">
        <v>0</v>
      </c>
      <c r="I1207" s="335"/>
    </row>
    <row r="1208" spans="1:9" x14ac:dyDescent="0.25">
      <c r="A1208" s="341" t="s">
        <v>1800</v>
      </c>
      <c r="B1208" s="335"/>
      <c r="C1208" s="2" t="s">
        <v>1769</v>
      </c>
      <c r="D1208" s="3">
        <v>3891.43</v>
      </c>
      <c r="E1208" s="3">
        <v>2988.57</v>
      </c>
      <c r="F1208" s="3">
        <v>13020.76</v>
      </c>
      <c r="G1208" s="3">
        <v>1186.23</v>
      </c>
      <c r="H1208" s="342">
        <v>0</v>
      </c>
      <c r="I1208" s="335"/>
    </row>
    <row r="1209" spans="1:9" x14ac:dyDescent="0.25">
      <c r="A1209" s="341" t="s">
        <v>1801</v>
      </c>
      <c r="B1209" s="335"/>
      <c r="C1209" s="2" t="s">
        <v>1802</v>
      </c>
      <c r="D1209" s="3">
        <v>0</v>
      </c>
      <c r="E1209" s="3">
        <v>366.16</v>
      </c>
      <c r="F1209" s="3">
        <v>7167.36</v>
      </c>
      <c r="G1209" s="3">
        <v>11106.09</v>
      </c>
      <c r="H1209" s="342">
        <v>0</v>
      </c>
      <c r="I1209" s="335"/>
    </row>
    <row r="1210" spans="1:9" x14ac:dyDescent="0.25">
      <c r="A1210" s="341" t="s">
        <v>1803</v>
      </c>
      <c r="B1210" s="335"/>
      <c r="C1210" s="2" t="s">
        <v>1434</v>
      </c>
      <c r="D1210" s="3">
        <v>0</v>
      </c>
      <c r="E1210" s="3">
        <v>0</v>
      </c>
      <c r="F1210" s="3">
        <v>5147.79</v>
      </c>
      <c r="G1210" s="3">
        <v>11635.08</v>
      </c>
      <c r="H1210" s="342">
        <v>0</v>
      </c>
      <c r="I1210" s="335"/>
    </row>
    <row r="1211" spans="1:9" x14ac:dyDescent="0.25">
      <c r="A1211" s="341" t="s">
        <v>1804</v>
      </c>
      <c r="B1211" s="335"/>
      <c r="C1211" s="2" t="s">
        <v>866</v>
      </c>
      <c r="D1211" s="3">
        <v>0</v>
      </c>
      <c r="E1211" s="3">
        <v>272.5</v>
      </c>
      <c r="F1211" s="3">
        <v>89849.15</v>
      </c>
      <c r="G1211" s="3">
        <v>208534.57</v>
      </c>
      <c r="H1211" s="342">
        <v>0</v>
      </c>
      <c r="I1211" s="335"/>
    </row>
    <row r="1212" spans="1:9" x14ac:dyDescent="0.25">
      <c r="A1212" s="340" t="s">
        <v>3221</v>
      </c>
      <c r="B1212" s="335"/>
      <c r="C1212" s="1" t="s">
        <v>2</v>
      </c>
    </row>
    <row r="1213" spans="1:9" ht="24" x14ac:dyDescent="0.25">
      <c r="A1213" s="341" t="s">
        <v>1805</v>
      </c>
      <c r="B1213" s="335"/>
      <c r="C1213" s="2" t="s">
        <v>1806</v>
      </c>
      <c r="D1213" s="3">
        <v>41140.5</v>
      </c>
      <c r="E1213" s="3">
        <v>40612.5</v>
      </c>
      <c r="F1213" s="3">
        <v>39979</v>
      </c>
      <c r="G1213" s="3">
        <v>7056.25</v>
      </c>
      <c r="H1213" s="342">
        <v>0</v>
      </c>
      <c r="I1213" s="335"/>
    </row>
    <row r="1214" spans="1:9" x14ac:dyDescent="0.25">
      <c r="A1214" s="341" t="s">
        <v>1807</v>
      </c>
      <c r="B1214" s="335"/>
      <c r="C1214" s="2" t="s">
        <v>1808</v>
      </c>
      <c r="D1214" s="3">
        <v>0</v>
      </c>
      <c r="E1214" s="3">
        <v>0</v>
      </c>
      <c r="F1214" s="3">
        <v>0</v>
      </c>
      <c r="G1214" s="3">
        <v>0</v>
      </c>
      <c r="H1214" s="342">
        <v>0</v>
      </c>
      <c r="I1214" s="335"/>
    </row>
    <row r="1215" spans="1:9" x14ac:dyDescent="0.25">
      <c r="A1215" s="341" t="s">
        <v>1809</v>
      </c>
      <c r="B1215" s="335"/>
      <c r="C1215" s="2" t="s">
        <v>1810</v>
      </c>
      <c r="D1215" s="3">
        <v>0</v>
      </c>
      <c r="E1215" s="3">
        <v>0</v>
      </c>
      <c r="F1215" s="3">
        <v>0</v>
      </c>
      <c r="G1215" s="3">
        <v>0</v>
      </c>
      <c r="H1215" s="342">
        <v>0</v>
      </c>
      <c r="I1215" s="335"/>
    </row>
    <row r="1216" spans="1:9" x14ac:dyDescent="0.25">
      <c r="A1216" s="341" t="s">
        <v>1811</v>
      </c>
      <c r="B1216" s="335"/>
      <c r="C1216" s="2" t="s">
        <v>1031</v>
      </c>
      <c r="D1216" s="3">
        <v>0</v>
      </c>
      <c r="E1216" s="3">
        <v>0</v>
      </c>
      <c r="F1216" s="3">
        <v>0</v>
      </c>
      <c r="G1216" s="3">
        <v>0</v>
      </c>
      <c r="H1216" s="342">
        <v>0</v>
      </c>
      <c r="I1216" s="335"/>
    </row>
    <row r="1217" spans="1:9" x14ac:dyDescent="0.25">
      <c r="A1217" s="341" t="s">
        <v>1812</v>
      </c>
      <c r="B1217" s="335"/>
      <c r="C1217" s="2" t="s">
        <v>1033</v>
      </c>
      <c r="D1217" s="3">
        <v>0</v>
      </c>
      <c r="E1217" s="3">
        <v>0</v>
      </c>
      <c r="F1217" s="3">
        <v>0</v>
      </c>
      <c r="G1217" s="3">
        <v>0</v>
      </c>
      <c r="H1217" s="342">
        <v>0</v>
      </c>
      <c r="I1217" s="335"/>
    </row>
    <row r="1218" spans="1:9" ht="24" x14ac:dyDescent="0.25">
      <c r="A1218" s="341" t="s">
        <v>1813</v>
      </c>
      <c r="B1218" s="335"/>
      <c r="C1218" s="2" t="s">
        <v>1035</v>
      </c>
      <c r="D1218" s="3">
        <v>0</v>
      </c>
      <c r="E1218" s="3">
        <v>0</v>
      </c>
      <c r="F1218" s="3">
        <v>0</v>
      </c>
      <c r="G1218" s="3">
        <v>0</v>
      </c>
      <c r="H1218" s="342">
        <v>0</v>
      </c>
      <c r="I1218" s="335"/>
    </row>
    <row r="1219" spans="1:9" x14ac:dyDescent="0.25">
      <c r="A1219" s="341" t="s">
        <v>1814</v>
      </c>
      <c r="B1219" s="335"/>
      <c r="C1219" s="2" t="s">
        <v>1037</v>
      </c>
      <c r="D1219" s="3">
        <v>0</v>
      </c>
      <c r="E1219" s="3">
        <v>0</v>
      </c>
      <c r="F1219" s="3">
        <v>0</v>
      </c>
      <c r="G1219" s="3">
        <v>0</v>
      </c>
      <c r="H1219" s="342">
        <v>0</v>
      </c>
      <c r="I1219" s="335"/>
    </row>
    <row r="1220" spans="1:9" ht="24" x14ac:dyDescent="0.25">
      <c r="A1220" s="341" t="s">
        <v>1815</v>
      </c>
      <c r="B1220" s="335"/>
      <c r="C1220" s="2" t="s">
        <v>1009</v>
      </c>
      <c r="D1220" s="3">
        <v>0</v>
      </c>
      <c r="E1220" s="3">
        <v>23875.74</v>
      </c>
      <c r="F1220" s="3">
        <v>23850.639999999999</v>
      </c>
      <c r="G1220" s="3">
        <v>0</v>
      </c>
      <c r="H1220" s="342">
        <v>0</v>
      </c>
      <c r="I1220" s="335"/>
    </row>
    <row r="1221" spans="1:9" x14ac:dyDescent="0.25">
      <c r="A1221" s="341" t="s">
        <v>1816</v>
      </c>
      <c r="B1221" s="335"/>
      <c r="C1221" s="2" t="s">
        <v>1015</v>
      </c>
      <c r="D1221" s="3">
        <v>0</v>
      </c>
      <c r="E1221" s="3">
        <v>0</v>
      </c>
      <c r="F1221" s="3">
        <v>8581.11</v>
      </c>
      <c r="G1221" s="3">
        <v>0</v>
      </c>
      <c r="H1221" s="342">
        <v>0</v>
      </c>
      <c r="I1221" s="335"/>
    </row>
    <row r="1222" spans="1:9" x14ac:dyDescent="0.25">
      <c r="A1222" s="341" t="s">
        <v>1817</v>
      </c>
      <c r="B1222" s="335"/>
      <c r="C1222" s="2" t="s">
        <v>1636</v>
      </c>
      <c r="D1222" s="3">
        <v>0</v>
      </c>
      <c r="E1222" s="3">
        <v>0</v>
      </c>
      <c r="F1222" s="3">
        <v>58284.73</v>
      </c>
      <c r="G1222" s="3">
        <v>0</v>
      </c>
      <c r="H1222" s="342">
        <v>0</v>
      </c>
      <c r="I1222" s="335"/>
    </row>
    <row r="1223" spans="1:9" x14ac:dyDescent="0.25">
      <c r="A1223" s="341" t="s">
        <v>1818</v>
      </c>
      <c r="B1223" s="335"/>
      <c r="C1223" s="2" t="s">
        <v>1019</v>
      </c>
      <c r="D1223" s="3">
        <v>0</v>
      </c>
      <c r="E1223" s="3">
        <v>0</v>
      </c>
      <c r="F1223" s="3">
        <v>39114.050000000003</v>
      </c>
      <c r="G1223" s="3">
        <v>0</v>
      </c>
      <c r="H1223" s="342">
        <v>0</v>
      </c>
      <c r="I1223" s="335"/>
    </row>
    <row r="1224" spans="1:9" x14ac:dyDescent="0.25">
      <c r="A1224" s="341" t="s">
        <v>1819</v>
      </c>
      <c r="B1224" s="335"/>
      <c r="C1224" s="2" t="s">
        <v>1021</v>
      </c>
      <c r="D1224" s="3">
        <v>0</v>
      </c>
      <c r="E1224" s="3">
        <v>0</v>
      </c>
      <c r="F1224" s="3">
        <v>37161.25</v>
      </c>
      <c r="G1224" s="3">
        <v>0</v>
      </c>
      <c r="H1224" s="342">
        <v>0</v>
      </c>
      <c r="I1224" s="335"/>
    </row>
    <row r="1225" spans="1:9" x14ac:dyDescent="0.25">
      <c r="A1225" s="340" t="s">
        <v>3220</v>
      </c>
      <c r="B1225" s="335"/>
      <c r="C1225" s="1" t="s">
        <v>2</v>
      </c>
      <c r="D1225" s="4">
        <v>41140.5</v>
      </c>
      <c r="E1225" s="4">
        <v>64488.24</v>
      </c>
      <c r="F1225" s="4">
        <v>206970.78</v>
      </c>
      <c r="G1225" s="4">
        <v>7056.25</v>
      </c>
      <c r="H1225" s="343">
        <v>0</v>
      </c>
      <c r="I1225" s="335"/>
    </row>
    <row r="1226" spans="1:9" x14ac:dyDescent="0.25">
      <c r="A1226" s="340" t="s">
        <v>2</v>
      </c>
      <c r="B1226" s="335"/>
      <c r="C1226" s="1" t="s">
        <v>2</v>
      </c>
      <c r="D1226" s="1" t="s">
        <v>2</v>
      </c>
      <c r="E1226" s="1" t="s">
        <v>2</v>
      </c>
      <c r="F1226" s="1" t="s">
        <v>2</v>
      </c>
      <c r="G1226" s="1" t="s">
        <v>2</v>
      </c>
      <c r="H1226" s="340" t="s">
        <v>2</v>
      </c>
      <c r="I1226" s="335"/>
    </row>
    <row r="1227" spans="1:9" x14ac:dyDescent="0.25">
      <c r="A1227" s="341" t="s">
        <v>1820</v>
      </c>
      <c r="B1227" s="335"/>
      <c r="C1227" s="2" t="s">
        <v>1821</v>
      </c>
      <c r="D1227" s="3">
        <v>9474</v>
      </c>
      <c r="E1227" s="3">
        <v>9157.89</v>
      </c>
      <c r="F1227" s="3">
        <v>24963.16</v>
      </c>
      <c r="G1227" s="3">
        <v>0</v>
      </c>
      <c r="H1227" s="342">
        <v>0</v>
      </c>
      <c r="I1227" s="335"/>
    </row>
    <row r="1228" spans="1:9" x14ac:dyDescent="0.25">
      <c r="A1228" s="341" t="s">
        <v>1822</v>
      </c>
      <c r="B1228" s="335"/>
      <c r="C1228" s="2" t="s">
        <v>1823</v>
      </c>
      <c r="D1228" s="3">
        <v>31799</v>
      </c>
      <c r="E1228" s="3">
        <v>31722.67</v>
      </c>
      <c r="F1228" s="3">
        <v>31645.87</v>
      </c>
      <c r="G1228" s="3">
        <v>31569.06</v>
      </c>
      <c r="H1228" s="342">
        <v>0</v>
      </c>
      <c r="I1228" s="335"/>
    </row>
    <row r="1229" spans="1:9" ht="24" x14ac:dyDescent="0.25">
      <c r="A1229" s="341" t="s">
        <v>1824</v>
      </c>
      <c r="B1229" s="335"/>
      <c r="C1229" s="2" t="s">
        <v>1459</v>
      </c>
      <c r="D1229" s="3">
        <v>10451.52</v>
      </c>
      <c r="E1229" s="3">
        <v>10442.030000000001</v>
      </c>
      <c r="F1229" s="3">
        <v>10431.99</v>
      </c>
      <c r="G1229" s="3">
        <v>7381.48</v>
      </c>
      <c r="H1229" s="342">
        <v>0</v>
      </c>
      <c r="I1229" s="335"/>
    </row>
    <row r="1230" spans="1:9" x14ac:dyDescent="0.25">
      <c r="A1230" s="341" t="s">
        <v>3219</v>
      </c>
      <c r="B1230" s="335"/>
      <c r="C1230" s="2" t="s">
        <v>3218</v>
      </c>
      <c r="D1230" s="3">
        <v>110000</v>
      </c>
      <c r="E1230" s="3">
        <v>0</v>
      </c>
      <c r="F1230" s="3">
        <v>0</v>
      </c>
      <c r="G1230" s="3">
        <v>0</v>
      </c>
      <c r="H1230" s="342">
        <v>0</v>
      </c>
      <c r="I1230" s="335"/>
    </row>
    <row r="1231" spans="1:9" x14ac:dyDescent="0.25">
      <c r="A1231" s="341" t="s">
        <v>3217</v>
      </c>
      <c r="B1231" s="335"/>
      <c r="C1231" s="2" t="s">
        <v>3216</v>
      </c>
      <c r="D1231" s="3">
        <v>7500</v>
      </c>
      <c r="E1231" s="3">
        <v>0</v>
      </c>
      <c r="F1231" s="3">
        <v>0</v>
      </c>
      <c r="G1231" s="3">
        <v>0</v>
      </c>
      <c r="H1231" s="342">
        <v>0</v>
      </c>
      <c r="I1231" s="335"/>
    </row>
    <row r="1232" spans="1:9" ht="24" x14ac:dyDescent="0.25">
      <c r="A1232" s="341" t="s">
        <v>3215</v>
      </c>
      <c r="B1232" s="335"/>
      <c r="C1232" s="2" t="s">
        <v>1011</v>
      </c>
      <c r="D1232" s="3">
        <v>0</v>
      </c>
      <c r="E1232" s="3">
        <v>21250</v>
      </c>
      <c r="F1232" s="3">
        <v>0</v>
      </c>
      <c r="G1232" s="3">
        <v>0</v>
      </c>
      <c r="H1232" s="342">
        <v>0</v>
      </c>
      <c r="I1232" s="335"/>
    </row>
    <row r="1233" spans="1:9" x14ac:dyDescent="0.25">
      <c r="A1233" s="341" t="s">
        <v>1825</v>
      </c>
      <c r="B1233" s="335"/>
      <c r="C1233" s="2" t="s">
        <v>700</v>
      </c>
      <c r="D1233" s="3">
        <v>0</v>
      </c>
      <c r="E1233" s="3">
        <v>0</v>
      </c>
      <c r="F1233" s="3">
        <v>0</v>
      </c>
      <c r="G1233" s="3">
        <v>0</v>
      </c>
      <c r="H1233" s="342">
        <v>0</v>
      </c>
      <c r="I1233" s="335"/>
    </row>
    <row r="1234" spans="1:9" x14ac:dyDescent="0.25">
      <c r="A1234" s="341" t="s">
        <v>1826</v>
      </c>
      <c r="B1234" s="335"/>
      <c r="C1234" s="2" t="s">
        <v>704</v>
      </c>
      <c r="D1234" s="3">
        <v>0</v>
      </c>
      <c r="E1234" s="3">
        <v>0</v>
      </c>
      <c r="F1234" s="3">
        <v>1454.36</v>
      </c>
      <c r="G1234" s="3">
        <v>0</v>
      </c>
      <c r="H1234" s="342">
        <v>0</v>
      </c>
      <c r="I1234" s="335"/>
    </row>
    <row r="1235" spans="1:9" x14ac:dyDescent="0.25">
      <c r="A1235" s="340" t="s">
        <v>1827</v>
      </c>
      <c r="B1235" s="335"/>
      <c r="C1235" s="1" t="s">
        <v>2</v>
      </c>
      <c r="D1235" s="4">
        <v>1183965.94</v>
      </c>
      <c r="E1235" s="4">
        <v>1156532.75</v>
      </c>
      <c r="F1235" s="4">
        <v>1521893.61</v>
      </c>
      <c r="G1235" s="49">
        <v>1108369.21</v>
      </c>
      <c r="H1235" s="343">
        <v>0</v>
      </c>
      <c r="I1235" s="335"/>
    </row>
    <row r="1236" spans="1:9" x14ac:dyDescent="0.25">
      <c r="A1236" s="340" t="s">
        <v>2</v>
      </c>
      <c r="B1236" s="335"/>
      <c r="C1236" s="1" t="s">
        <v>2</v>
      </c>
      <c r="D1236" s="1" t="s">
        <v>2</v>
      </c>
      <c r="E1236" s="1" t="s">
        <v>2</v>
      </c>
      <c r="F1236" s="1" t="s">
        <v>2</v>
      </c>
      <c r="G1236" s="1" t="s">
        <v>2</v>
      </c>
      <c r="H1236" s="340" t="s">
        <v>2</v>
      </c>
      <c r="I1236" s="335"/>
    </row>
    <row r="1237" spans="1:9" x14ac:dyDescent="0.25">
      <c r="A1237" s="340" t="s">
        <v>1828</v>
      </c>
      <c r="B1237" s="335"/>
      <c r="C1237" s="1" t="s">
        <v>2</v>
      </c>
    </row>
    <row r="1238" spans="1:9" ht="24" x14ac:dyDescent="0.25">
      <c r="A1238" s="341" t="s">
        <v>1829</v>
      </c>
      <c r="B1238" s="335"/>
      <c r="C1238" s="2" t="s">
        <v>1830</v>
      </c>
      <c r="D1238" s="3">
        <v>30724.14</v>
      </c>
      <c r="E1238" s="3">
        <v>30724.14</v>
      </c>
      <c r="F1238" s="3">
        <v>30724.14</v>
      </c>
      <c r="G1238" s="3">
        <v>30724.14</v>
      </c>
      <c r="H1238" s="342">
        <v>0</v>
      </c>
      <c r="I1238" s="335"/>
    </row>
    <row r="1239" spans="1:9" x14ac:dyDescent="0.25">
      <c r="A1239" s="341" t="s">
        <v>1831</v>
      </c>
      <c r="B1239" s="335"/>
      <c r="C1239" s="2" t="s">
        <v>1832</v>
      </c>
      <c r="D1239" s="3">
        <v>7894.73</v>
      </c>
      <c r="E1239" s="3">
        <v>7894.73</v>
      </c>
      <c r="F1239" s="3">
        <v>23684.21</v>
      </c>
      <c r="G1239" s="3">
        <v>0</v>
      </c>
      <c r="H1239" s="342">
        <v>0</v>
      </c>
      <c r="I1239" s="335"/>
    </row>
    <row r="1240" spans="1:9" x14ac:dyDescent="0.25">
      <c r="A1240" s="341" t="s">
        <v>1833</v>
      </c>
      <c r="B1240" s="335"/>
      <c r="C1240" s="2" t="s">
        <v>1834</v>
      </c>
      <c r="D1240" s="3">
        <v>55000</v>
      </c>
      <c r="E1240" s="3">
        <v>50000</v>
      </c>
      <c r="F1240" s="3">
        <v>50000</v>
      </c>
      <c r="G1240" s="3">
        <v>60000</v>
      </c>
      <c r="H1240" s="342">
        <v>0</v>
      </c>
      <c r="I1240" s="335"/>
    </row>
    <row r="1241" spans="1:9" ht="24" x14ac:dyDescent="0.25">
      <c r="A1241" s="341" t="s">
        <v>1835</v>
      </c>
      <c r="B1241" s="335"/>
      <c r="C1241" s="2" t="s">
        <v>1836</v>
      </c>
      <c r="D1241" s="3">
        <v>42476.27</v>
      </c>
      <c r="E1241" s="3">
        <v>44600.09</v>
      </c>
      <c r="F1241" s="3">
        <v>46830.09</v>
      </c>
      <c r="G1241" s="3">
        <v>36030.879999999997</v>
      </c>
      <c r="H1241" s="342">
        <v>0</v>
      </c>
      <c r="I1241" s="335"/>
    </row>
    <row r="1242" spans="1:9" x14ac:dyDescent="0.25">
      <c r="A1242" s="341" t="s">
        <v>1837</v>
      </c>
      <c r="B1242" s="335"/>
      <c r="C1242" s="2" t="s">
        <v>1838</v>
      </c>
      <c r="D1242" s="3">
        <v>1578.95</v>
      </c>
      <c r="E1242" s="3">
        <v>1263.1600000000001</v>
      </c>
      <c r="F1242" s="3">
        <v>1278.95</v>
      </c>
      <c r="G1242" s="3">
        <v>0</v>
      </c>
      <c r="H1242" s="342">
        <v>0</v>
      </c>
      <c r="I1242" s="335"/>
    </row>
    <row r="1243" spans="1:9" ht="24" x14ac:dyDescent="0.25">
      <c r="A1243" s="341" t="s">
        <v>1839</v>
      </c>
      <c r="B1243" s="335"/>
      <c r="C1243" s="2" t="s">
        <v>1840</v>
      </c>
      <c r="D1243" s="3">
        <v>1075.3499999999999</v>
      </c>
      <c r="E1243" s="3">
        <v>998.53</v>
      </c>
      <c r="F1243" s="3">
        <v>921.73</v>
      </c>
      <c r="G1243" s="3">
        <v>844.92</v>
      </c>
      <c r="H1243" s="342">
        <v>0</v>
      </c>
      <c r="I1243" s="335"/>
    </row>
    <row r="1244" spans="1:9" ht="24" x14ac:dyDescent="0.25">
      <c r="A1244" s="341" t="s">
        <v>1841</v>
      </c>
      <c r="B1244" s="335"/>
      <c r="C1244" s="2" t="s">
        <v>1842</v>
      </c>
      <c r="D1244" s="3">
        <v>15588.09</v>
      </c>
      <c r="E1244" s="3">
        <v>13411.17</v>
      </c>
      <c r="F1244" s="3">
        <v>11125.41</v>
      </c>
      <c r="G1244" s="3">
        <v>4977.33</v>
      </c>
      <c r="H1244" s="342">
        <v>0</v>
      </c>
      <c r="I1244" s="335"/>
    </row>
    <row r="1245" spans="1:9" x14ac:dyDescent="0.25">
      <c r="A1245" s="341" t="s">
        <v>1843</v>
      </c>
      <c r="B1245" s="335"/>
      <c r="C1245" s="2" t="s">
        <v>1844</v>
      </c>
      <c r="D1245" s="3">
        <v>29625</v>
      </c>
      <c r="E1245" s="3">
        <v>27000</v>
      </c>
      <c r="F1245" s="3">
        <v>24500</v>
      </c>
      <c r="G1245" s="3">
        <v>11625</v>
      </c>
      <c r="H1245" s="342">
        <v>0</v>
      </c>
      <c r="I1245" s="335"/>
    </row>
    <row r="1246" spans="1:9" x14ac:dyDescent="0.25">
      <c r="A1246" s="340" t="s">
        <v>1845</v>
      </c>
      <c r="B1246" s="335"/>
      <c r="C1246" s="1" t="s">
        <v>2</v>
      </c>
      <c r="D1246" s="4">
        <v>183962.53</v>
      </c>
      <c r="E1246" s="4">
        <v>175891.82</v>
      </c>
      <c r="F1246" s="4">
        <v>189064.53</v>
      </c>
      <c r="G1246" s="49">
        <v>144202.26999999999</v>
      </c>
      <c r="H1246" s="343">
        <v>0</v>
      </c>
      <c r="I1246" s="335"/>
    </row>
    <row r="1247" spans="1:9" x14ac:dyDescent="0.25">
      <c r="A1247" s="340" t="s">
        <v>2</v>
      </c>
      <c r="B1247" s="335"/>
      <c r="C1247" s="1" t="s">
        <v>2</v>
      </c>
      <c r="D1247" s="1" t="s">
        <v>2</v>
      </c>
      <c r="E1247" s="1" t="s">
        <v>2</v>
      </c>
      <c r="F1247" s="1" t="s">
        <v>2</v>
      </c>
      <c r="G1247" s="1" t="s">
        <v>2</v>
      </c>
      <c r="H1247" s="340" t="s">
        <v>2</v>
      </c>
      <c r="I1247" s="335"/>
    </row>
    <row r="1248" spans="1:9" x14ac:dyDescent="0.25">
      <c r="A1248" s="340" t="s">
        <v>1846</v>
      </c>
      <c r="B1248" s="335"/>
      <c r="C1248" s="1" t="s">
        <v>2</v>
      </c>
    </row>
    <row r="1249" spans="1:9" x14ac:dyDescent="0.25">
      <c r="A1249" s="341" t="s">
        <v>1847</v>
      </c>
      <c r="B1249" s="335"/>
      <c r="C1249" s="2" t="s">
        <v>1848</v>
      </c>
      <c r="D1249" s="3">
        <v>0</v>
      </c>
      <c r="E1249" s="3">
        <v>6666.67</v>
      </c>
      <c r="F1249" s="3">
        <v>0</v>
      </c>
      <c r="G1249" s="3">
        <v>0</v>
      </c>
      <c r="H1249" s="342">
        <v>0</v>
      </c>
      <c r="I1249" s="335"/>
    </row>
    <row r="1250" spans="1:9" x14ac:dyDescent="0.25">
      <c r="A1250" s="341" t="s">
        <v>1849</v>
      </c>
      <c r="B1250" s="335"/>
      <c r="C1250" s="2" t="s">
        <v>1850</v>
      </c>
      <c r="D1250" s="3">
        <v>93120.5</v>
      </c>
      <c r="E1250" s="3">
        <v>30491</v>
      </c>
      <c r="F1250" s="3">
        <v>30795.91</v>
      </c>
      <c r="G1250" s="3">
        <v>80000</v>
      </c>
      <c r="H1250" s="342">
        <v>0</v>
      </c>
      <c r="I1250" s="335"/>
    </row>
    <row r="1251" spans="1:9" x14ac:dyDescent="0.25">
      <c r="A1251" s="341" t="s">
        <v>1851</v>
      </c>
      <c r="B1251" s="335"/>
      <c r="C1251" s="2" t="s">
        <v>1852</v>
      </c>
      <c r="D1251" s="3">
        <v>2859.33</v>
      </c>
      <c r="E1251" s="3">
        <v>1928.12</v>
      </c>
      <c r="F1251" s="3">
        <v>1623.21</v>
      </c>
      <c r="G1251" s="3">
        <v>1315.25</v>
      </c>
      <c r="H1251" s="342">
        <v>0</v>
      </c>
      <c r="I1251" s="335"/>
    </row>
    <row r="1252" spans="1:9" x14ac:dyDescent="0.25">
      <c r="A1252" s="340" t="s">
        <v>1853</v>
      </c>
      <c r="B1252" s="335"/>
      <c r="C1252" s="1" t="s">
        <v>2</v>
      </c>
      <c r="D1252" s="4">
        <v>95979.83</v>
      </c>
      <c r="E1252" s="4">
        <v>39085.79</v>
      </c>
      <c r="F1252" s="4">
        <v>32419.119999999999</v>
      </c>
      <c r="G1252" s="49">
        <v>81315.25</v>
      </c>
      <c r="H1252" s="343">
        <v>0</v>
      </c>
      <c r="I1252" s="335"/>
    </row>
    <row r="1253" spans="1:9" x14ac:dyDescent="0.25">
      <c r="A1253" s="340" t="s">
        <v>2</v>
      </c>
      <c r="B1253" s="335"/>
      <c r="C1253" s="1" t="s">
        <v>2</v>
      </c>
      <c r="D1253" s="1" t="s">
        <v>2</v>
      </c>
      <c r="E1253" s="1" t="s">
        <v>2</v>
      </c>
      <c r="F1253" s="1" t="s">
        <v>2</v>
      </c>
      <c r="G1253" s="1" t="s">
        <v>2</v>
      </c>
      <c r="H1253" s="340" t="s">
        <v>2</v>
      </c>
      <c r="I1253" s="335"/>
    </row>
    <row r="1254" spans="1:9" x14ac:dyDescent="0.25">
      <c r="A1254" s="340" t="s">
        <v>1854</v>
      </c>
      <c r="B1254" s="335"/>
      <c r="C1254" s="1" t="s">
        <v>2</v>
      </c>
    </row>
    <row r="1255" spans="1:9" x14ac:dyDescent="0.25">
      <c r="A1255" s="341" t="s">
        <v>1855</v>
      </c>
      <c r="B1255" s="335"/>
      <c r="C1255" s="2" t="s">
        <v>1856</v>
      </c>
      <c r="D1255" s="3">
        <v>0</v>
      </c>
      <c r="E1255" s="3">
        <v>0</v>
      </c>
      <c r="F1255" s="3">
        <v>106024.27</v>
      </c>
      <c r="G1255" s="3">
        <v>14758.14</v>
      </c>
      <c r="H1255" s="342">
        <v>0</v>
      </c>
      <c r="I1255" s="335"/>
    </row>
    <row r="1256" spans="1:9" x14ac:dyDescent="0.25">
      <c r="A1256" s="341" t="s">
        <v>1857</v>
      </c>
      <c r="B1256" s="335"/>
      <c r="C1256" s="2" t="s">
        <v>1858</v>
      </c>
      <c r="D1256" s="3">
        <v>0</v>
      </c>
      <c r="E1256" s="3">
        <v>75584.55</v>
      </c>
      <c r="F1256" s="3">
        <v>3416</v>
      </c>
      <c r="G1256" s="3">
        <v>13091.84</v>
      </c>
      <c r="H1256" s="342">
        <v>0</v>
      </c>
      <c r="I1256" s="335"/>
    </row>
    <row r="1257" spans="1:9" x14ac:dyDescent="0.25">
      <c r="A1257" s="340" t="s">
        <v>1859</v>
      </c>
      <c r="B1257" s="335"/>
      <c r="C1257" s="1" t="s">
        <v>2</v>
      </c>
      <c r="D1257" s="4">
        <v>0</v>
      </c>
      <c r="E1257" s="4">
        <v>75584.55</v>
      </c>
      <c r="F1257" s="4">
        <v>109440.27</v>
      </c>
      <c r="G1257" s="49">
        <v>27849.98</v>
      </c>
      <c r="H1257" s="343">
        <v>0</v>
      </c>
      <c r="I1257" s="335"/>
    </row>
    <row r="1258" spans="1:9" x14ac:dyDescent="0.25">
      <c r="A1258" s="340" t="s">
        <v>2</v>
      </c>
      <c r="B1258" s="335"/>
      <c r="C1258" s="1" t="s">
        <v>2</v>
      </c>
      <c r="D1258" s="1" t="s">
        <v>2</v>
      </c>
      <c r="E1258" s="1" t="s">
        <v>2</v>
      </c>
      <c r="F1258" s="1" t="s">
        <v>2</v>
      </c>
      <c r="G1258" s="1" t="s">
        <v>2</v>
      </c>
      <c r="H1258" s="340" t="s">
        <v>2</v>
      </c>
      <c r="I1258" s="335"/>
    </row>
    <row r="1259" spans="1:9" x14ac:dyDescent="0.25">
      <c r="A1259" s="340" t="s">
        <v>1860</v>
      </c>
      <c r="B1259" s="335"/>
      <c r="C1259" s="1" t="s">
        <v>2</v>
      </c>
    </row>
    <row r="1260" spans="1:9" ht="24" x14ac:dyDescent="0.25">
      <c r="A1260" s="341" t="s">
        <v>1861</v>
      </c>
      <c r="B1260" s="335"/>
      <c r="C1260" s="2" t="s">
        <v>1862</v>
      </c>
      <c r="D1260" s="3">
        <v>0</v>
      </c>
      <c r="E1260" s="3">
        <v>1230982.04</v>
      </c>
      <c r="F1260" s="3">
        <v>3524.29</v>
      </c>
      <c r="G1260" s="3">
        <v>335527.90000000002</v>
      </c>
      <c r="H1260" s="342">
        <v>0</v>
      </c>
      <c r="I1260" s="335"/>
    </row>
    <row r="1261" spans="1:9" x14ac:dyDescent="0.25">
      <c r="A1261" s="341" t="s">
        <v>1863</v>
      </c>
      <c r="B1261" s="335"/>
      <c r="C1261" s="2" t="s">
        <v>1864</v>
      </c>
      <c r="D1261" s="3">
        <v>0</v>
      </c>
      <c r="E1261" s="3">
        <v>0</v>
      </c>
      <c r="F1261" s="3">
        <v>0</v>
      </c>
      <c r="G1261" s="3">
        <v>0</v>
      </c>
      <c r="H1261" s="342">
        <v>0</v>
      </c>
      <c r="I1261" s="335"/>
    </row>
    <row r="1262" spans="1:9" x14ac:dyDescent="0.25">
      <c r="A1262" s="340" t="s">
        <v>1865</v>
      </c>
      <c r="B1262" s="335"/>
      <c r="C1262" s="1" t="s">
        <v>2</v>
      </c>
      <c r="D1262" s="4">
        <v>0</v>
      </c>
      <c r="E1262" s="4">
        <v>1230982.04</v>
      </c>
      <c r="F1262" s="4">
        <v>3524.29</v>
      </c>
      <c r="G1262" s="49">
        <v>335527.90000000002</v>
      </c>
      <c r="H1262" s="343">
        <v>0</v>
      </c>
      <c r="I1262" s="335"/>
    </row>
    <row r="1263" spans="1:9" x14ac:dyDescent="0.25">
      <c r="A1263" s="340" t="s">
        <v>2</v>
      </c>
      <c r="B1263" s="335"/>
      <c r="C1263" s="1" t="s">
        <v>2</v>
      </c>
      <c r="D1263" s="1" t="s">
        <v>2</v>
      </c>
      <c r="E1263" s="1" t="s">
        <v>2</v>
      </c>
      <c r="F1263" s="1" t="s">
        <v>2</v>
      </c>
      <c r="G1263" s="1" t="s">
        <v>2</v>
      </c>
      <c r="H1263" s="340" t="s">
        <v>2</v>
      </c>
      <c r="I1263" s="335"/>
    </row>
    <row r="1264" spans="1:9" x14ac:dyDescent="0.25">
      <c r="A1264" s="340" t="s">
        <v>1866</v>
      </c>
      <c r="B1264" s="335"/>
      <c r="C1264" s="1" t="s">
        <v>2</v>
      </c>
    </row>
    <row r="1265" spans="1:9" x14ac:dyDescent="0.25">
      <c r="A1265" s="341" t="s">
        <v>1867</v>
      </c>
      <c r="B1265" s="335"/>
      <c r="C1265" s="2" t="s">
        <v>1868</v>
      </c>
      <c r="D1265" s="3">
        <v>0</v>
      </c>
      <c r="E1265" s="3">
        <v>19742061.039999999</v>
      </c>
      <c r="F1265" s="3">
        <v>9834808.1699999999</v>
      </c>
      <c r="G1265" s="3">
        <v>2823223.32</v>
      </c>
      <c r="H1265" s="342">
        <v>0</v>
      </c>
      <c r="I1265" s="335"/>
    </row>
    <row r="1266" spans="1:9" x14ac:dyDescent="0.25">
      <c r="A1266" s="341" t="s">
        <v>1869</v>
      </c>
      <c r="B1266" s="335"/>
      <c r="C1266" s="2" t="s">
        <v>1870</v>
      </c>
      <c r="D1266" s="3">
        <v>0</v>
      </c>
      <c r="E1266" s="3">
        <v>53858.080000000002</v>
      </c>
      <c r="F1266" s="3">
        <v>0</v>
      </c>
      <c r="G1266" s="3">
        <v>0</v>
      </c>
      <c r="H1266" s="342">
        <v>0</v>
      </c>
      <c r="I1266" s="335"/>
    </row>
    <row r="1267" spans="1:9" x14ac:dyDescent="0.25">
      <c r="A1267" s="341" t="s">
        <v>1871</v>
      </c>
      <c r="B1267" s="335"/>
      <c r="C1267" s="2" t="s">
        <v>1872</v>
      </c>
      <c r="D1267" s="3">
        <v>0</v>
      </c>
      <c r="E1267" s="3">
        <v>200000</v>
      </c>
      <c r="F1267" s="3">
        <v>1100000</v>
      </c>
      <c r="G1267" s="3">
        <v>0</v>
      </c>
      <c r="H1267" s="342">
        <v>0</v>
      </c>
      <c r="I1267" s="335"/>
    </row>
    <row r="1268" spans="1:9" ht="24" x14ac:dyDescent="0.25">
      <c r="A1268" s="341" t="s">
        <v>1873</v>
      </c>
      <c r="B1268" s="335"/>
      <c r="C1268" s="2" t="s">
        <v>1874</v>
      </c>
      <c r="D1268" s="3">
        <v>0</v>
      </c>
      <c r="E1268" s="3">
        <v>31720</v>
      </c>
      <c r="F1268" s="3">
        <v>0</v>
      </c>
      <c r="G1268" s="3">
        <v>0</v>
      </c>
      <c r="H1268" s="342">
        <v>0</v>
      </c>
      <c r="I1268" s="335"/>
    </row>
    <row r="1269" spans="1:9" x14ac:dyDescent="0.25">
      <c r="A1269" s="341" t="s">
        <v>1875</v>
      </c>
      <c r="B1269" s="335"/>
      <c r="C1269" s="2" t="s">
        <v>1876</v>
      </c>
      <c r="D1269" s="3">
        <v>0</v>
      </c>
      <c r="E1269" s="3">
        <v>183.92</v>
      </c>
      <c r="F1269" s="3">
        <v>1237.5</v>
      </c>
      <c r="G1269" s="3">
        <v>0</v>
      </c>
      <c r="H1269" s="342">
        <v>0</v>
      </c>
      <c r="I1269" s="335"/>
    </row>
    <row r="1270" spans="1:9" x14ac:dyDescent="0.25">
      <c r="A1270" s="340" t="s">
        <v>1877</v>
      </c>
      <c r="B1270" s="335"/>
      <c r="C1270" s="1" t="s">
        <v>2</v>
      </c>
      <c r="D1270" s="4">
        <v>0</v>
      </c>
      <c r="E1270" s="4">
        <v>20027823.039999999</v>
      </c>
      <c r="F1270" s="4">
        <v>10936045.67</v>
      </c>
      <c r="G1270" s="49">
        <v>2823223.32</v>
      </c>
      <c r="H1270" s="343">
        <v>0</v>
      </c>
      <c r="I1270" s="335"/>
    </row>
    <row r="1271" spans="1:9" x14ac:dyDescent="0.25">
      <c r="A1271" s="340" t="s">
        <v>2</v>
      </c>
      <c r="B1271" s="335"/>
      <c r="C1271" s="1" t="s">
        <v>2</v>
      </c>
      <c r="D1271" s="1" t="s">
        <v>2</v>
      </c>
      <c r="E1271" s="1" t="s">
        <v>2</v>
      </c>
      <c r="F1271" s="1" t="s">
        <v>2</v>
      </c>
      <c r="G1271" s="1" t="s">
        <v>2</v>
      </c>
      <c r="H1271" s="340" t="s">
        <v>2</v>
      </c>
      <c r="I1271" s="335"/>
    </row>
    <row r="1272" spans="1:9" x14ac:dyDescent="0.25">
      <c r="A1272" s="340" t="s">
        <v>41</v>
      </c>
      <c r="B1272" s="335"/>
      <c r="C1272" s="1" t="s">
        <v>2</v>
      </c>
    </row>
    <row r="1273" spans="1:9" x14ac:dyDescent="0.25">
      <c r="A1273" s="341" t="s">
        <v>1879</v>
      </c>
      <c r="B1273" s="335"/>
      <c r="C1273" s="2" t="s">
        <v>905</v>
      </c>
      <c r="D1273" s="3">
        <v>1788.08</v>
      </c>
      <c r="E1273" s="3">
        <v>9196.7099999999991</v>
      </c>
      <c r="F1273" s="3">
        <v>8055.64</v>
      </c>
      <c r="G1273" s="3">
        <v>468.92</v>
      </c>
      <c r="H1273" s="342">
        <v>0</v>
      </c>
      <c r="I1273" s="335"/>
    </row>
    <row r="1274" spans="1:9" ht="24" x14ac:dyDescent="0.25">
      <c r="A1274" s="341" t="s">
        <v>1880</v>
      </c>
      <c r="B1274" s="335"/>
      <c r="C1274" s="2" t="s">
        <v>1881</v>
      </c>
      <c r="D1274" s="3">
        <v>7736.9</v>
      </c>
      <c r="E1274" s="3">
        <v>9840.5400000000009</v>
      </c>
      <c r="F1274" s="3">
        <v>5823.1</v>
      </c>
      <c r="G1274" s="3">
        <v>38356.019999999997</v>
      </c>
      <c r="H1274" s="342">
        <v>0</v>
      </c>
      <c r="I1274" s="335"/>
    </row>
    <row r="1275" spans="1:9" x14ac:dyDescent="0.25">
      <c r="A1275" s="341" t="s">
        <v>1882</v>
      </c>
      <c r="B1275" s="335"/>
      <c r="C1275" s="2" t="s">
        <v>1883</v>
      </c>
      <c r="D1275" s="3">
        <v>4986.2</v>
      </c>
      <c r="E1275" s="3">
        <v>5186.42</v>
      </c>
      <c r="F1275" s="3">
        <v>5592.78</v>
      </c>
      <c r="G1275" s="3">
        <v>2565.44</v>
      </c>
      <c r="H1275" s="342">
        <v>0</v>
      </c>
      <c r="I1275" s="335"/>
    </row>
    <row r="1276" spans="1:9" x14ac:dyDescent="0.25">
      <c r="A1276" s="341" t="s">
        <v>1884</v>
      </c>
      <c r="B1276" s="335"/>
      <c r="C1276" s="2" t="s">
        <v>1885</v>
      </c>
      <c r="D1276" s="3">
        <v>27270.080000000002</v>
      </c>
      <c r="E1276" s="3">
        <v>27082.42</v>
      </c>
      <c r="F1276" s="3">
        <v>26937.82</v>
      </c>
      <c r="G1276" s="3">
        <v>20665.349999999999</v>
      </c>
      <c r="H1276" s="342">
        <v>0</v>
      </c>
      <c r="I1276" s="335"/>
    </row>
    <row r="1277" spans="1:9" x14ac:dyDescent="0.25">
      <c r="A1277" s="341" t="s">
        <v>1886</v>
      </c>
      <c r="B1277" s="335"/>
      <c r="C1277" s="2" t="s">
        <v>1887</v>
      </c>
      <c r="D1277" s="3">
        <v>53639.57</v>
      </c>
      <c r="E1277" s="3">
        <v>52292.52</v>
      </c>
      <c r="F1277" s="3">
        <v>52804.55</v>
      </c>
      <c r="G1277" s="3">
        <v>36345.599999999999</v>
      </c>
      <c r="H1277" s="342">
        <v>0</v>
      </c>
      <c r="I1277" s="335"/>
    </row>
    <row r="1278" spans="1:9" x14ac:dyDescent="0.25">
      <c r="A1278" s="341" t="s">
        <v>1888</v>
      </c>
      <c r="B1278" s="335"/>
      <c r="C1278" s="2" t="s">
        <v>1889</v>
      </c>
      <c r="D1278" s="3">
        <v>94960.21</v>
      </c>
      <c r="E1278" s="3">
        <v>103525.75999999999</v>
      </c>
      <c r="F1278" s="3">
        <v>158811.59</v>
      </c>
      <c r="G1278" s="3">
        <v>72983.89</v>
      </c>
      <c r="H1278" s="342">
        <v>0</v>
      </c>
      <c r="I1278" s="335"/>
    </row>
    <row r="1279" spans="1:9" x14ac:dyDescent="0.25">
      <c r="A1279" s="341" t="s">
        <v>1890</v>
      </c>
      <c r="B1279" s="335"/>
      <c r="C1279" s="2" t="s">
        <v>1891</v>
      </c>
      <c r="D1279" s="3">
        <v>0</v>
      </c>
      <c r="E1279" s="3">
        <v>0</v>
      </c>
      <c r="F1279" s="3">
        <v>0</v>
      </c>
      <c r="G1279" s="3">
        <v>0</v>
      </c>
      <c r="H1279" s="342">
        <v>0</v>
      </c>
      <c r="I1279" s="335"/>
    </row>
    <row r="1280" spans="1:9" ht="36" x14ac:dyDescent="0.25">
      <c r="A1280" s="341" t="s">
        <v>1892</v>
      </c>
      <c r="B1280" s="335"/>
      <c r="C1280" s="2" t="s">
        <v>1893</v>
      </c>
      <c r="D1280" s="3">
        <v>17000</v>
      </c>
      <c r="E1280" s="3">
        <v>0</v>
      </c>
      <c r="F1280" s="3">
        <v>0</v>
      </c>
      <c r="G1280" s="3">
        <v>0</v>
      </c>
      <c r="H1280" s="342">
        <v>0</v>
      </c>
      <c r="I1280" s="335"/>
    </row>
    <row r="1281" spans="1:9" x14ac:dyDescent="0.25">
      <c r="A1281" s="341" t="s">
        <v>1895</v>
      </c>
      <c r="B1281" s="335"/>
      <c r="C1281" s="2" t="s">
        <v>1896</v>
      </c>
      <c r="D1281" s="3">
        <v>40101.129999999997</v>
      </c>
      <c r="E1281" s="3">
        <v>96659.93</v>
      </c>
      <c r="F1281" s="3">
        <v>12222.59</v>
      </c>
      <c r="G1281" s="3">
        <v>12503.29</v>
      </c>
      <c r="H1281" s="342">
        <v>0</v>
      </c>
      <c r="I1281" s="335"/>
    </row>
    <row r="1282" spans="1:9" x14ac:dyDescent="0.25">
      <c r="A1282" s="340" t="s">
        <v>1897</v>
      </c>
      <c r="B1282" s="335"/>
      <c r="C1282" s="1" t="s">
        <v>2</v>
      </c>
      <c r="D1282" s="4">
        <v>247482.17</v>
      </c>
      <c r="E1282" s="4">
        <v>303784.3</v>
      </c>
      <c r="F1282" s="4">
        <v>270248.07</v>
      </c>
      <c r="G1282" s="49">
        <v>183888.51</v>
      </c>
      <c r="H1282" s="343">
        <v>0</v>
      </c>
      <c r="I1282" s="335"/>
    </row>
    <row r="1283" spans="1:9" x14ac:dyDescent="0.25">
      <c r="A1283" s="340" t="s">
        <v>2</v>
      </c>
      <c r="B1283" s="335"/>
      <c r="C1283" s="1" t="s">
        <v>2</v>
      </c>
      <c r="D1283" s="1" t="s">
        <v>2</v>
      </c>
      <c r="E1283" s="1" t="s">
        <v>2</v>
      </c>
      <c r="F1283" s="1" t="s">
        <v>2</v>
      </c>
      <c r="G1283" s="1" t="s">
        <v>2</v>
      </c>
      <c r="H1283" s="340" t="s">
        <v>2</v>
      </c>
      <c r="I1283" s="335"/>
    </row>
    <row r="1284" spans="1:9" x14ac:dyDescent="0.25">
      <c r="A1284" s="340" t="s">
        <v>1898</v>
      </c>
      <c r="B1284" s="335"/>
      <c r="C1284" s="1" t="s">
        <v>2</v>
      </c>
    </row>
    <row r="1285" spans="1:9" x14ac:dyDescent="0.25">
      <c r="A1285" s="341" t="s">
        <v>1899</v>
      </c>
      <c r="B1285" s="335"/>
      <c r="C1285" s="2" t="s">
        <v>1900</v>
      </c>
      <c r="D1285" s="3">
        <v>60000</v>
      </c>
      <c r="E1285" s="3">
        <v>26339</v>
      </c>
      <c r="F1285" s="3">
        <v>75387.66</v>
      </c>
      <c r="G1285" s="3">
        <v>0</v>
      </c>
      <c r="H1285" s="342">
        <v>0</v>
      </c>
      <c r="I1285" s="335"/>
    </row>
    <row r="1286" spans="1:9" x14ac:dyDescent="0.25">
      <c r="A1286" s="341" t="s">
        <v>1901</v>
      </c>
      <c r="B1286" s="335"/>
      <c r="C1286" s="2" t="s">
        <v>108</v>
      </c>
      <c r="D1286" s="3">
        <v>127632.44</v>
      </c>
      <c r="E1286" s="3">
        <v>123290.7</v>
      </c>
      <c r="F1286" s="3">
        <v>127710.65</v>
      </c>
      <c r="G1286" s="3">
        <v>126152.1</v>
      </c>
      <c r="H1286" s="342">
        <v>0</v>
      </c>
      <c r="I1286" s="335"/>
    </row>
    <row r="1287" spans="1:9" x14ac:dyDescent="0.25">
      <c r="A1287" s="341" t="s">
        <v>1902</v>
      </c>
      <c r="B1287" s="335"/>
      <c r="C1287" s="2" t="s">
        <v>569</v>
      </c>
      <c r="D1287" s="3">
        <v>420.88</v>
      </c>
      <c r="E1287" s="3">
        <v>0</v>
      </c>
      <c r="F1287" s="3">
        <v>0</v>
      </c>
      <c r="G1287" s="3">
        <v>0</v>
      </c>
      <c r="H1287" s="342">
        <v>0</v>
      </c>
      <c r="I1287" s="335"/>
    </row>
    <row r="1288" spans="1:9" x14ac:dyDescent="0.25">
      <c r="A1288" s="341" t="s">
        <v>1903</v>
      </c>
      <c r="B1288" s="335"/>
      <c r="C1288" s="2" t="s">
        <v>29</v>
      </c>
      <c r="D1288" s="3">
        <v>28042.57</v>
      </c>
      <c r="E1288" s="3">
        <v>24569.96</v>
      </c>
      <c r="F1288" s="3">
        <v>25675.13</v>
      </c>
      <c r="G1288" s="3">
        <v>29724.28</v>
      </c>
      <c r="H1288" s="342">
        <v>0</v>
      </c>
      <c r="I1288" s="335"/>
    </row>
    <row r="1289" spans="1:9" x14ac:dyDescent="0.25">
      <c r="A1289" s="341" t="s">
        <v>1904</v>
      </c>
      <c r="B1289" s="335"/>
      <c r="C1289" s="2" t="s">
        <v>128</v>
      </c>
      <c r="D1289" s="3">
        <v>3173.58</v>
      </c>
      <c r="E1289" s="3">
        <v>2791.11</v>
      </c>
      <c r="F1289" s="3">
        <v>2878.54</v>
      </c>
      <c r="G1289" s="3">
        <v>2313.2800000000002</v>
      </c>
      <c r="H1289" s="342">
        <v>0</v>
      </c>
      <c r="I1289" s="335"/>
    </row>
    <row r="1290" spans="1:9" x14ac:dyDescent="0.25">
      <c r="A1290" s="341" t="s">
        <v>1905</v>
      </c>
      <c r="B1290" s="335"/>
      <c r="C1290" s="2" t="s">
        <v>33</v>
      </c>
      <c r="D1290" s="3">
        <v>18194.04</v>
      </c>
      <c r="E1290" s="3">
        <v>17979.48</v>
      </c>
      <c r="F1290" s="3">
        <v>17129.64</v>
      </c>
      <c r="G1290" s="3">
        <v>14938.56</v>
      </c>
      <c r="H1290" s="342">
        <v>0</v>
      </c>
      <c r="I1290" s="335"/>
    </row>
    <row r="1291" spans="1:9" x14ac:dyDescent="0.25">
      <c r="A1291" s="341" t="s">
        <v>1906</v>
      </c>
      <c r="B1291" s="335"/>
      <c r="C1291" s="2" t="s">
        <v>11</v>
      </c>
      <c r="D1291" s="3">
        <v>9690.18</v>
      </c>
      <c r="E1291" s="3">
        <v>9340.7900000000009</v>
      </c>
      <c r="F1291" s="3">
        <v>9673.85</v>
      </c>
      <c r="G1291" s="3">
        <v>9536.08</v>
      </c>
      <c r="H1291" s="342">
        <v>0</v>
      </c>
      <c r="I1291" s="335"/>
    </row>
    <row r="1292" spans="1:9" x14ac:dyDescent="0.25">
      <c r="A1292" s="341" t="s">
        <v>1907</v>
      </c>
      <c r="B1292" s="335"/>
      <c r="C1292" s="2" t="s">
        <v>13</v>
      </c>
      <c r="D1292" s="3">
        <v>173.27</v>
      </c>
      <c r="E1292" s="3">
        <v>181.1</v>
      </c>
      <c r="F1292" s="3">
        <v>187.23</v>
      </c>
      <c r="G1292" s="3">
        <v>269.38</v>
      </c>
      <c r="H1292" s="342">
        <v>0</v>
      </c>
      <c r="I1292" s="335"/>
    </row>
    <row r="1293" spans="1:9" x14ac:dyDescent="0.25">
      <c r="A1293" s="341" t="s">
        <v>1908</v>
      </c>
      <c r="B1293" s="335"/>
      <c r="C1293" s="2" t="s">
        <v>458</v>
      </c>
      <c r="D1293" s="3">
        <v>192.92</v>
      </c>
      <c r="E1293" s="3">
        <v>358.27</v>
      </c>
      <c r="F1293" s="3">
        <v>501.24</v>
      </c>
      <c r="G1293" s="3">
        <v>140.58000000000001</v>
      </c>
      <c r="H1293" s="342">
        <v>0</v>
      </c>
      <c r="I1293" s="335"/>
    </row>
    <row r="1294" spans="1:9" x14ac:dyDescent="0.25">
      <c r="A1294" s="341" t="s">
        <v>1909</v>
      </c>
      <c r="B1294" s="335"/>
      <c r="C1294" s="2" t="s">
        <v>585</v>
      </c>
      <c r="D1294" s="3">
        <v>0</v>
      </c>
      <c r="E1294" s="3">
        <v>0</v>
      </c>
      <c r="F1294" s="3">
        <v>0</v>
      </c>
      <c r="G1294" s="3">
        <v>3.53</v>
      </c>
      <c r="H1294" s="342">
        <v>0</v>
      </c>
      <c r="I1294" s="335"/>
    </row>
    <row r="1295" spans="1:9" x14ac:dyDescent="0.25">
      <c r="A1295" s="341" t="s">
        <v>1910</v>
      </c>
      <c r="B1295" s="335"/>
      <c r="C1295" s="2" t="s">
        <v>37</v>
      </c>
      <c r="D1295" s="3">
        <v>0</v>
      </c>
      <c r="E1295" s="3">
        <v>0</v>
      </c>
      <c r="F1295" s="3">
        <v>0</v>
      </c>
      <c r="G1295" s="3">
        <v>0</v>
      </c>
      <c r="H1295" s="342">
        <v>0</v>
      </c>
      <c r="I1295" s="335"/>
    </row>
    <row r="1296" spans="1:9" x14ac:dyDescent="0.25">
      <c r="A1296" s="341" t="s">
        <v>1911</v>
      </c>
      <c r="B1296" s="335"/>
      <c r="C1296" s="2" t="s">
        <v>1912</v>
      </c>
      <c r="D1296" s="3">
        <v>0</v>
      </c>
      <c r="E1296" s="3">
        <v>0</v>
      </c>
      <c r="F1296" s="3">
        <v>0</v>
      </c>
      <c r="G1296" s="3">
        <v>0</v>
      </c>
      <c r="H1296" s="342">
        <v>0</v>
      </c>
      <c r="I1296" s="335"/>
    </row>
    <row r="1297" spans="1:9" x14ac:dyDescent="0.25">
      <c r="A1297" s="341" t="s">
        <v>1913</v>
      </c>
      <c r="B1297" s="335"/>
      <c r="C1297" s="2" t="s">
        <v>1914</v>
      </c>
      <c r="D1297" s="3">
        <v>69365.259999999995</v>
      </c>
      <c r="E1297" s="3">
        <v>65504.12</v>
      </c>
      <c r="F1297" s="3">
        <v>67780.759999999995</v>
      </c>
      <c r="G1297" s="3">
        <v>61629.66</v>
      </c>
      <c r="H1297" s="342">
        <v>0</v>
      </c>
      <c r="I1297" s="335"/>
    </row>
    <row r="1298" spans="1:9" x14ac:dyDescent="0.25">
      <c r="A1298" s="341" t="s">
        <v>1915</v>
      </c>
      <c r="B1298" s="335"/>
      <c r="C1298" s="2" t="s">
        <v>1916</v>
      </c>
      <c r="D1298" s="3">
        <v>111567.06</v>
      </c>
      <c r="E1298" s="3">
        <v>81964.25</v>
      </c>
      <c r="F1298" s="3">
        <v>128446.65</v>
      </c>
      <c r="G1298" s="3">
        <v>108074.45</v>
      </c>
      <c r="H1298" s="342">
        <v>0</v>
      </c>
      <c r="I1298" s="335"/>
    </row>
    <row r="1299" spans="1:9" x14ac:dyDescent="0.25">
      <c r="A1299" s="341" t="s">
        <v>1917</v>
      </c>
      <c r="B1299" s="335"/>
      <c r="C1299" s="2" t="s">
        <v>905</v>
      </c>
      <c r="D1299" s="3">
        <v>5572.91</v>
      </c>
      <c r="E1299" s="3">
        <v>4774.08</v>
      </c>
      <c r="F1299" s="3">
        <v>2127.35</v>
      </c>
      <c r="G1299" s="3">
        <v>2194.3000000000002</v>
      </c>
      <c r="H1299" s="342">
        <v>0</v>
      </c>
      <c r="I1299" s="335"/>
    </row>
    <row r="1300" spans="1:9" ht="24" x14ac:dyDescent="0.25">
      <c r="A1300" s="341" t="s">
        <v>1918</v>
      </c>
      <c r="B1300" s="335"/>
      <c r="C1300" s="2" t="s">
        <v>1919</v>
      </c>
      <c r="D1300" s="3">
        <v>1881.05</v>
      </c>
      <c r="E1300" s="3">
        <v>2179.88</v>
      </c>
      <c r="F1300" s="3">
        <v>1359.84</v>
      </c>
      <c r="G1300" s="3">
        <v>2179.88</v>
      </c>
      <c r="H1300" s="342">
        <v>0</v>
      </c>
      <c r="I1300" s="335"/>
    </row>
    <row r="1301" spans="1:9" x14ac:dyDescent="0.25">
      <c r="A1301" s="341" t="s">
        <v>1920</v>
      </c>
      <c r="B1301" s="335"/>
      <c r="C1301" s="2" t="s">
        <v>57</v>
      </c>
      <c r="D1301" s="3">
        <v>710.12</v>
      </c>
      <c r="E1301" s="3">
        <v>676.02</v>
      </c>
      <c r="F1301" s="3">
        <v>1207.81</v>
      </c>
      <c r="G1301" s="3">
        <v>736.43</v>
      </c>
      <c r="H1301" s="342">
        <v>0</v>
      </c>
      <c r="I1301" s="335"/>
    </row>
    <row r="1302" spans="1:9" x14ac:dyDescent="0.25">
      <c r="A1302" s="341" t="s">
        <v>1921</v>
      </c>
      <c r="B1302" s="335"/>
      <c r="C1302" s="2" t="s">
        <v>303</v>
      </c>
      <c r="D1302" s="3">
        <v>4592.72</v>
      </c>
      <c r="E1302" s="3">
        <v>6005.04</v>
      </c>
      <c r="F1302" s="3">
        <v>6182.87</v>
      </c>
      <c r="G1302" s="3">
        <v>6731.65</v>
      </c>
      <c r="H1302" s="342">
        <v>0</v>
      </c>
      <c r="I1302" s="335"/>
    </row>
    <row r="1303" spans="1:9" x14ac:dyDescent="0.25">
      <c r="A1303" s="341" t="s">
        <v>1922</v>
      </c>
      <c r="B1303" s="335"/>
      <c r="C1303" s="2" t="s">
        <v>305</v>
      </c>
      <c r="D1303" s="3">
        <v>7761.21</v>
      </c>
      <c r="E1303" s="3">
        <v>7938.22</v>
      </c>
      <c r="F1303" s="3">
        <v>8569.74</v>
      </c>
      <c r="G1303" s="3">
        <v>5159.82</v>
      </c>
      <c r="H1303" s="342">
        <v>0</v>
      </c>
      <c r="I1303" s="335"/>
    </row>
    <row r="1304" spans="1:9" x14ac:dyDescent="0.25">
      <c r="A1304" s="341" t="s">
        <v>1923</v>
      </c>
      <c r="B1304" s="335"/>
      <c r="C1304" s="2" t="s">
        <v>1562</v>
      </c>
      <c r="D1304" s="3">
        <v>397.95</v>
      </c>
      <c r="E1304" s="3">
        <v>649.86</v>
      </c>
      <c r="F1304" s="3">
        <v>746.27</v>
      </c>
      <c r="G1304" s="3">
        <v>479.92</v>
      </c>
      <c r="H1304" s="342">
        <v>0</v>
      </c>
      <c r="I1304" s="335"/>
    </row>
    <row r="1305" spans="1:9" x14ac:dyDescent="0.25">
      <c r="A1305" s="341" t="s">
        <v>1924</v>
      </c>
      <c r="B1305" s="335"/>
      <c r="C1305" s="2" t="s">
        <v>947</v>
      </c>
      <c r="D1305" s="3">
        <v>22884.38</v>
      </c>
      <c r="E1305" s="3">
        <v>20546.72</v>
      </c>
      <c r="F1305" s="3">
        <v>34387.06</v>
      </c>
      <c r="G1305" s="3">
        <v>12225.23</v>
      </c>
      <c r="H1305" s="342">
        <v>0</v>
      </c>
      <c r="I1305" s="335"/>
    </row>
    <row r="1306" spans="1:9" x14ac:dyDescent="0.25">
      <c r="A1306" s="341" t="s">
        <v>1925</v>
      </c>
      <c r="B1306" s="335"/>
      <c r="C1306" s="2" t="s">
        <v>64</v>
      </c>
      <c r="D1306" s="3">
        <v>631.63</v>
      </c>
      <c r="E1306" s="3">
        <v>215.25</v>
      </c>
      <c r="F1306" s="3">
        <v>356.24</v>
      </c>
      <c r="G1306" s="3">
        <v>2153.7800000000002</v>
      </c>
      <c r="H1306" s="342">
        <v>0</v>
      </c>
      <c r="I1306" s="335"/>
    </row>
    <row r="1307" spans="1:9" x14ac:dyDescent="0.25">
      <c r="A1307" s="341" t="s">
        <v>1926</v>
      </c>
      <c r="B1307" s="335"/>
      <c r="C1307" s="2" t="s">
        <v>907</v>
      </c>
      <c r="D1307" s="3">
        <v>31267.02</v>
      </c>
      <c r="E1307" s="3">
        <v>30714.7</v>
      </c>
      <c r="F1307" s="3">
        <v>34646.449999999997</v>
      </c>
      <c r="G1307" s="3">
        <v>30714.7</v>
      </c>
      <c r="H1307" s="342">
        <v>0</v>
      </c>
      <c r="I1307" s="335"/>
    </row>
    <row r="1308" spans="1:9" x14ac:dyDescent="0.25">
      <c r="A1308" s="341" t="s">
        <v>1928</v>
      </c>
      <c r="B1308" s="335"/>
      <c r="C1308" s="2" t="s">
        <v>1929</v>
      </c>
      <c r="D1308" s="3">
        <v>5990.29</v>
      </c>
      <c r="E1308" s="3">
        <v>7945.62</v>
      </c>
      <c r="F1308" s="3">
        <v>10131.719999999999</v>
      </c>
      <c r="G1308" s="3">
        <v>9182.4500000000007</v>
      </c>
      <c r="H1308" s="342">
        <v>0</v>
      </c>
      <c r="I1308" s="335"/>
    </row>
    <row r="1309" spans="1:9" x14ac:dyDescent="0.25">
      <c r="A1309" s="341" t="s">
        <v>1930</v>
      </c>
      <c r="B1309" s="335"/>
      <c r="C1309" s="2" t="s">
        <v>1931</v>
      </c>
      <c r="D1309" s="3">
        <v>0</v>
      </c>
      <c r="E1309" s="3">
        <v>0</v>
      </c>
      <c r="F1309" s="3">
        <v>22105.24</v>
      </c>
      <c r="G1309" s="3">
        <v>8062.08</v>
      </c>
      <c r="H1309" s="342">
        <v>0</v>
      </c>
      <c r="I1309" s="335"/>
    </row>
    <row r="1310" spans="1:9" x14ac:dyDescent="0.25">
      <c r="A1310" s="341" t="s">
        <v>1932</v>
      </c>
      <c r="B1310" s="335"/>
      <c r="C1310" s="2" t="s">
        <v>1933</v>
      </c>
      <c r="D1310" s="3">
        <v>17028.5</v>
      </c>
      <c r="E1310" s="3">
        <v>21418.81</v>
      </c>
      <c r="F1310" s="3">
        <v>0</v>
      </c>
      <c r="G1310" s="3">
        <v>15189.28</v>
      </c>
      <c r="H1310" s="342">
        <v>0</v>
      </c>
      <c r="I1310" s="335"/>
    </row>
    <row r="1311" spans="1:9" x14ac:dyDescent="0.25">
      <c r="A1311" s="341" t="s">
        <v>1934</v>
      </c>
      <c r="B1311" s="335"/>
      <c r="C1311" s="2" t="s">
        <v>1935</v>
      </c>
      <c r="D1311" s="3">
        <v>66219.45</v>
      </c>
      <c r="E1311" s="3">
        <v>86647.58</v>
      </c>
      <c r="F1311" s="3">
        <v>117782.52</v>
      </c>
      <c r="G1311" s="3">
        <v>96303.07</v>
      </c>
      <c r="H1311" s="342">
        <v>0</v>
      </c>
      <c r="I1311" s="335"/>
    </row>
    <row r="1312" spans="1:9" x14ac:dyDescent="0.25">
      <c r="A1312" s="341" t="s">
        <v>1936</v>
      </c>
      <c r="B1312" s="335"/>
      <c r="C1312" s="2" t="s">
        <v>1937</v>
      </c>
      <c r="D1312" s="3">
        <v>11961.55</v>
      </c>
      <c r="E1312" s="3">
        <v>13258.42</v>
      </c>
      <c r="F1312" s="3">
        <v>14201.38</v>
      </c>
      <c r="G1312" s="3">
        <v>8367.19</v>
      </c>
      <c r="H1312" s="342">
        <v>0</v>
      </c>
      <c r="I1312" s="335"/>
    </row>
    <row r="1313" spans="1:9" x14ac:dyDescent="0.25">
      <c r="A1313" s="341" t="s">
        <v>3214</v>
      </c>
      <c r="B1313" s="335"/>
      <c r="C1313" s="2" t="s">
        <v>3213</v>
      </c>
      <c r="D1313" s="3">
        <v>224979.78</v>
      </c>
      <c r="E1313" s="3">
        <v>0</v>
      </c>
      <c r="F1313" s="3">
        <v>0</v>
      </c>
      <c r="G1313" s="3">
        <v>0</v>
      </c>
      <c r="H1313" s="342">
        <v>0</v>
      </c>
      <c r="I1313" s="335"/>
    </row>
    <row r="1314" spans="1:9" x14ac:dyDescent="0.25">
      <c r="A1314" s="341" t="s">
        <v>3212</v>
      </c>
      <c r="B1314" s="335"/>
      <c r="C1314" s="2" t="s">
        <v>3211</v>
      </c>
      <c r="D1314" s="3">
        <v>32783.050000000003</v>
      </c>
      <c r="E1314" s="3">
        <v>0</v>
      </c>
      <c r="F1314" s="3">
        <v>0</v>
      </c>
      <c r="G1314" s="3">
        <v>0</v>
      </c>
      <c r="H1314" s="342">
        <v>0</v>
      </c>
      <c r="I1314" s="335"/>
    </row>
    <row r="1315" spans="1:9" x14ac:dyDescent="0.25">
      <c r="A1315" s="341" t="s">
        <v>1938</v>
      </c>
      <c r="B1315" s="335"/>
      <c r="C1315" s="2" t="s">
        <v>1939</v>
      </c>
      <c r="D1315" s="3">
        <v>0</v>
      </c>
      <c r="E1315" s="3">
        <v>0</v>
      </c>
      <c r="F1315" s="3">
        <v>0</v>
      </c>
      <c r="G1315" s="3">
        <v>24712.46</v>
      </c>
      <c r="H1315" s="342">
        <v>0</v>
      </c>
      <c r="I1315" s="335"/>
    </row>
    <row r="1316" spans="1:9" x14ac:dyDescent="0.25">
      <c r="A1316" s="341" t="s">
        <v>1940</v>
      </c>
      <c r="B1316" s="335"/>
      <c r="C1316" s="2" t="s">
        <v>1941</v>
      </c>
      <c r="D1316" s="3">
        <v>0</v>
      </c>
      <c r="E1316" s="3">
        <v>0</v>
      </c>
      <c r="F1316" s="3">
        <v>7869.48</v>
      </c>
      <c r="G1316" s="3">
        <v>0</v>
      </c>
      <c r="H1316" s="342">
        <v>0</v>
      </c>
      <c r="I1316" s="335"/>
    </row>
    <row r="1317" spans="1:9" x14ac:dyDescent="0.25">
      <c r="A1317" s="341" t="s">
        <v>1942</v>
      </c>
      <c r="B1317" s="335"/>
      <c r="C1317" s="2" t="s">
        <v>1943</v>
      </c>
      <c r="D1317" s="3">
        <v>0</v>
      </c>
      <c r="E1317" s="3">
        <v>14086.49</v>
      </c>
      <c r="F1317" s="3">
        <v>0</v>
      </c>
      <c r="G1317" s="3">
        <v>0</v>
      </c>
      <c r="H1317" s="342">
        <v>0</v>
      </c>
      <c r="I1317" s="335"/>
    </row>
    <row r="1318" spans="1:9" x14ac:dyDescent="0.25">
      <c r="A1318" s="341" t="s">
        <v>1944</v>
      </c>
      <c r="B1318" s="335"/>
      <c r="C1318" s="2" t="s">
        <v>1945</v>
      </c>
      <c r="D1318" s="3">
        <v>0</v>
      </c>
      <c r="E1318" s="3">
        <v>36779.040000000001</v>
      </c>
      <c r="F1318" s="3">
        <v>0</v>
      </c>
      <c r="G1318" s="3">
        <v>0</v>
      </c>
      <c r="H1318" s="342">
        <v>0</v>
      </c>
      <c r="I1318" s="335"/>
    </row>
    <row r="1319" spans="1:9" x14ac:dyDescent="0.25">
      <c r="A1319" s="341" t="s">
        <v>1946</v>
      </c>
      <c r="B1319" s="335"/>
      <c r="C1319" s="2" t="s">
        <v>1947</v>
      </c>
      <c r="D1319" s="3">
        <v>0</v>
      </c>
      <c r="E1319" s="3">
        <v>85222.96</v>
      </c>
      <c r="F1319" s="3">
        <v>95402.58</v>
      </c>
      <c r="G1319" s="3">
        <v>0</v>
      </c>
      <c r="H1319" s="342">
        <v>0</v>
      </c>
      <c r="I1319" s="335"/>
    </row>
    <row r="1320" spans="1:9" x14ac:dyDescent="0.25">
      <c r="A1320" s="341" t="s">
        <v>1948</v>
      </c>
      <c r="B1320" s="335"/>
      <c r="C1320" s="2" t="s">
        <v>1949</v>
      </c>
      <c r="D1320" s="3">
        <v>0</v>
      </c>
      <c r="E1320" s="3">
        <v>95345.51</v>
      </c>
      <c r="F1320" s="3">
        <v>0</v>
      </c>
      <c r="G1320" s="3">
        <v>0</v>
      </c>
      <c r="H1320" s="342">
        <v>0</v>
      </c>
      <c r="I1320" s="335"/>
    </row>
    <row r="1321" spans="1:9" x14ac:dyDescent="0.25">
      <c r="A1321" s="341" t="s">
        <v>1950</v>
      </c>
      <c r="B1321" s="335"/>
      <c r="C1321" s="2" t="s">
        <v>1951</v>
      </c>
      <c r="D1321" s="3">
        <v>0</v>
      </c>
      <c r="E1321" s="3">
        <v>0</v>
      </c>
      <c r="F1321" s="3">
        <v>0</v>
      </c>
      <c r="G1321" s="3">
        <v>0</v>
      </c>
      <c r="H1321" s="342">
        <v>0</v>
      </c>
      <c r="I1321" s="335"/>
    </row>
    <row r="1322" spans="1:9" x14ac:dyDescent="0.25">
      <c r="A1322" s="341" t="s">
        <v>1952</v>
      </c>
      <c r="B1322" s="335"/>
      <c r="C1322" s="2" t="s">
        <v>1953</v>
      </c>
      <c r="D1322" s="3">
        <v>0</v>
      </c>
      <c r="E1322" s="3">
        <v>0</v>
      </c>
      <c r="F1322" s="3">
        <v>0</v>
      </c>
      <c r="G1322" s="3">
        <v>0</v>
      </c>
      <c r="H1322" s="342">
        <v>0</v>
      </c>
      <c r="I1322" s="335"/>
    </row>
    <row r="1323" spans="1:9" x14ac:dyDescent="0.25">
      <c r="A1323" s="341" t="s">
        <v>1954</v>
      </c>
      <c r="B1323" s="335"/>
      <c r="C1323" s="2" t="s">
        <v>1955</v>
      </c>
      <c r="D1323" s="3">
        <v>0</v>
      </c>
      <c r="E1323" s="3">
        <v>0</v>
      </c>
      <c r="F1323" s="3">
        <v>0</v>
      </c>
      <c r="G1323" s="3">
        <v>0</v>
      </c>
      <c r="H1323" s="342">
        <v>0</v>
      </c>
      <c r="I1323" s="335"/>
    </row>
    <row r="1324" spans="1:9" x14ac:dyDescent="0.25">
      <c r="A1324" s="341" t="s">
        <v>1956</v>
      </c>
      <c r="B1324" s="335"/>
      <c r="C1324" s="2" t="s">
        <v>1957</v>
      </c>
      <c r="D1324" s="3">
        <v>0</v>
      </c>
      <c r="E1324" s="3">
        <v>0</v>
      </c>
      <c r="F1324" s="3">
        <v>0</v>
      </c>
      <c r="G1324" s="3">
        <v>0</v>
      </c>
      <c r="H1324" s="342">
        <v>0</v>
      </c>
      <c r="I1324" s="335"/>
    </row>
    <row r="1325" spans="1:9" x14ac:dyDescent="0.25">
      <c r="A1325" s="341" t="s">
        <v>1958</v>
      </c>
      <c r="B1325" s="335"/>
      <c r="C1325" s="2" t="s">
        <v>1959</v>
      </c>
      <c r="D1325" s="3">
        <v>0</v>
      </c>
      <c r="E1325" s="3">
        <v>0</v>
      </c>
      <c r="F1325" s="3">
        <v>0</v>
      </c>
      <c r="G1325" s="3">
        <v>0</v>
      </c>
      <c r="H1325" s="342">
        <v>0</v>
      </c>
      <c r="I1325" s="335"/>
    </row>
    <row r="1326" spans="1:9" x14ac:dyDescent="0.25">
      <c r="A1326" s="341" t="s">
        <v>1960</v>
      </c>
      <c r="B1326" s="335"/>
      <c r="C1326" s="2" t="s">
        <v>1961</v>
      </c>
      <c r="D1326" s="3">
        <v>0</v>
      </c>
      <c r="E1326" s="3">
        <v>0</v>
      </c>
      <c r="F1326" s="3">
        <v>0</v>
      </c>
      <c r="G1326" s="3">
        <v>0</v>
      </c>
      <c r="H1326" s="342">
        <v>0</v>
      </c>
      <c r="I1326" s="335"/>
    </row>
    <row r="1327" spans="1:9" x14ac:dyDescent="0.25">
      <c r="A1327" s="341" t="s">
        <v>1962</v>
      </c>
      <c r="B1327" s="335"/>
      <c r="C1327" s="2" t="s">
        <v>1963</v>
      </c>
      <c r="D1327" s="3">
        <v>0</v>
      </c>
      <c r="E1327" s="3">
        <v>0</v>
      </c>
      <c r="F1327" s="3">
        <v>0</v>
      </c>
      <c r="G1327" s="3">
        <v>0</v>
      </c>
      <c r="H1327" s="342">
        <v>0</v>
      </c>
      <c r="I1327" s="335"/>
    </row>
    <row r="1328" spans="1:9" x14ac:dyDescent="0.25">
      <c r="A1328" s="341" t="s">
        <v>1964</v>
      </c>
      <c r="B1328" s="335"/>
      <c r="C1328" s="2" t="s">
        <v>1965</v>
      </c>
      <c r="D1328" s="3">
        <v>0</v>
      </c>
      <c r="E1328" s="3">
        <v>0</v>
      </c>
      <c r="F1328" s="3">
        <v>0</v>
      </c>
      <c r="G1328" s="3">
        <v>16439.57</v>
      </c>
      <c r="H1328" s="342">
        <v>0</v>
      </c>
      <c r="I1328" s="335"/>
    </row>
    <row r="1329" spans="1:9" x14ac:dyDescent="0.25">
      <c r="A1329" s="341" t="s">
        <v>1966</v>
      </c>
      <c r="B1329" s="335"/>
      <c r="C1329" s="2" t="s">
        <v>1967</v>
      </c>
      <c r="D1329" s="3">
        <v>0</v>
      </c>
      <c r="E1329" s="3">
        <v>0</v>
      </c>
      <c r="F1329" s="3">
        <v>0</v>
      </c>
      <c r="G1329" s="3">
        <v>0</v>
      </c>
      <c r="H1329" s="342">
        <v>0</v>
      </c>
      <c r="I1329" s="335"/>
    </row>
    <row r="1330" spans="1:9" ht="24" x14ac:dyDescent="0.25">
      <c r="A1330" s="341" t="s">
        <v>1968</v>
      </c>
      <c r="B1330" s="335"/>
      <c r="C1330" s="2" t="s">
        <v>1969</v>
      </c>
      <c r="D1330" s="3">
        <v>0</v>
      </c>
      <c r="E1330" s="3">
        <v>0</v>
      </c>
      <c r="F1330" s="3">
        <v>0</v>
      </c>
      <c r="G1330" s="3">
        <v>16584.05</v>
      </c>
      <c r="H1330" s="342">
        <v>0</v>
      </c>
      <c r="I1330" s="335"/>
    </row>
    <row r="1331" spans="1:9" x14ac:dyDescent="0.25">
      <c r="A1331" s="341" t="s">
        <v>1970</v>
      </c>
      <c r="B1331" s="335"/>
      <c r="C1331" s="2" t="s">
        <v>1971</v>
      </c>
      <c r="D1331" s="3">
        <v>0</v>
      </c>
      <c r="E1331" s="3">
        <v>0</v>
      </c>
      <c r="F1331" s="3">
        <v>0</v>
      </c>
      <c r="G1331" s="3">
        <v>0</v>
      </c>
      <c r="H1331" s="342">
        <v>0</v>
      </c>
      <c r="I1331" s="335"/>
    </row>
    <row r="1332" spans="1:9" x14ac:dyDescent="0.25">
      <c r="A1332" s="341" t="s">
        <v>1972</v>
      </c>
      <c r="B1332" s="335"/>
      <c r="C1332" s="2" t="s">
        <v>1973</v>
      </c>
      <c r="D1332" s="3">
        <v>0</v>
      </c>
      <c r="E1332" s="3">
        <v>0</v>
      </c>
      <c r="F1332" s="3">
        <v>0</v>
      </c>
      <c r="G1332" s="3">
        <v>7415.48</v>
      </c>
      <c r="H1332" s="342">
        <v>0</v>
      </c>
      <c r="I1332" s="335"/>
    </row>
    <row r="1333" spans="1:9" x14ac:dyDescent="0.25">
      <c r="A1333" s="341" t="s">
        <v>1974</v>
      </c>
      <c r="B1333" s="335"/>
      <c r="C1333" s="2" t="s">
        <v>1975</v>
      </c>
      <c r="D1333" s="3">
        <v>0</v>
      </c>
      <c r="E1333" s="3">
        <v>0</v>
      </c>
      <c r="F1333" s="3">
        <v>70572.14</v>
      </c>
      <c r="G1333" s="3">
        <v>0</v>
      </c>
      <c r="H1333" s="342">
        <v>0</v>
      </c>
      <c r="I1333" s="335"/>
    </row>
    <row r="1334" spans="1:9" x14ac:dyDescent="0.25">
      <c r="A1334" s="341" t="s">
        <v>1976</v>
      </c>
      <c r="B1334" s="335"/>
      <c r="C1334" s="2" t="s">
        <v>1977</v>
      </c>
      <c r="D1334" s="3">
        <v>0</v>
      </c>
      <c r="E1334" s="3">
        <v>0</v>
      </c>
      <c r="F1334" s="3">
        <v>34448.65</v>
      </c>
      <c r="G1334" s="3">
        <v>0</v>
      </c>
      <c r="H1334" s="342">
        <v>0</v>
      </c>
      <c r="I1334" s="335"/>
    </row>
    <row r="1335" spans="1:9" x14ac:dyDescent="0.25">
      <c r="A1335" s="341" t="s">
        <v>1978</v>
      </c>
      <c r="B1335" s="335"/>
      <c r="C1335" s="2" t="s">
        <v>1979</v>
      </c>
      <c r="D1335" s="3">
        <v>0</v>
      </c>
      <c r="E1335" s="3">
        <v>0</v>
      </c>
      <c r="F1335" s="3">
        <v>116569.46</v>
      </c>
      <c r="G1335" s="3">
        <v>0</v>
      </c>
      <c r="H1335" s="342">
        <v>0</v>
      </c>
      <c r="I1335" s="335"/>
    </row>
    <row r="1336" spans="1:9" x14ac:dyDescent="0.25">
      <c r="A1336" s="341" t="s">
        <v>1980</v>
      </c>
      <c r="B1336" s="335"/>
      <c r="C1336" s="2" t="s">
        <v>1981</v>
      </c>
      <c r="D1336" s="3">
        <v>0</v>
      </c>
      <c r="E1336" s="3">
        <v>0</v>
      </c>
      <c r="F1336" s="3">
        <v>78228.100000000006</v>
      </c>
      <c r="G1336" s="3">
        <v>0</v>
      </c>
      <c r="H1336" s="342">
        <v>0</v>
      </c>
      <c r="I1336" s="335"/>
    </row>
    <row r="1337" spans="1:9" x14ac:dyDescent="0.25">
      <c r="A1337" s="341" t="s">
        <v>1982</v>
      </c>
      <c r="B1337" s="335"/>
      <c r="C1337" s="2" t="s">
        <v>1983</v>
      </c>
      <c r="D1337" s="3">
        <v>0</v>
      </c>
      <c r="E1337" s="3">
        <v>0</v>
      </c>
      <c r="F1337" s="3">
        <v>74322.5</v>
      </c>
      <c r="G1337" s="3">
        <v>0</v>
      </c>
      <c r="H1337" s="342">
        <v>0</v>
      </c>
      <c r="I1337" s="335"/>
    </row>
    <row r="1338" spans="1:9" x14ac:dyDescent="0.25">
      <c r="A1338" s="341" t="s">
        <v>1984</v>
      </c>
      <c r="B1338" s="335"/>
      <c r="C1338" s="2" t="s">
        <v>1985</v>
      </c>
      <c r="D1338" s="3">
        <v>0</v>
      </c>
      <c r="E1338" s="3">
        <v>0</v>
      </c>
      <c r="F1338" s="3">
        <v>33976.43</v>
      </c>
      <c r="G1338" s="3">
        <v>0</v>
      </c>
      <c r="H1338" s="342">
        <v>0</v>
      </c>
      <c r="I1338" s="335"/>
    </row>
    <row r="1339" spans="1:9" x14ac:dyDescent="0.25">
      <c r="A1339" s="341" t="s">
        <v>1986</v>
      </c>
      <c r="B1339" s="335"/>
      <c r="C1339" s="2" t="s">
        <v>1987</v>
      </c>
      <c r="D1339" s="3">
        <v>0</v>
      </c>
      <c r="E1339" s="3">
        <v>36904.79</v>
      </c>
      <c r="F1339" s="3">
        <v>0</v>
      </c>
      <c r="G1339" s="3">
        <v>0</v>
      </c>
      <c r="H1339" s="342">
        <v>0</v>
      </c>
      <c r="I1339" s="335"/>
    </row>
    <row r="1340" spans="1:9" x14ac:dyDescent="0.25">
      <c r="A1340" s="341" t="s">
        <v>1988</v>
      </c>
      <c r="B1340" s="335"/>
      <c r="C1340" s="2" t="s">
        <v>1989</v>
      </c>
      <c r="D1340" s="3">
        <v>0</v>
      </c>
      <c r="E1340" s="3">
        <v>35648.1</v>
      </c>
      <c r="F1340" s="3">
        <v>0</v>
      </c>
      <c r="G1340" s="3">
        <v>0</v>
      </c>
      <c r="H1340" s="342">
        <v>0</v>
      </c>
      <c r="I1340" s="335"/>
    </row>
    <row r="1341" spans="1:9" x14ac:dyDescent="0.25">
      <c r="A1341" s="341" t="s">
        <v>1990</v>
      </c>
      <c r="B1341" s="335"/>
      <c r="C1341" s="2" t="s">
        <v>1991</v>
      </c>
      <c r="D1341" s="3">
        <v>0</v>
      </c>
      <c r="E1341" s="3">
        <v>38487.82</v>
      </c>
      <c r="F1341" s="3">
        <v>0</v>
      </c>
      <c r="G1341" s="3">
        <v>0</v>
      </c>
      <c r="H1341" s="342">
        <v>0</v>
      </c>
      <c r="I1341" s="335"/>
    </row>
    <row r="1342" spans="1:9" x14ac:dyDescent="0.25">
      <c r="A1342" s="341" t="s">
        <v>1992</v>
      </c>
      <c r="B1342" s="335"/>
      <c r="C1342" s="2" t="s">
        <v>1993</v>
      </c>
      <c r="D1342" s="3">
        <v>0</v>
      </c>
      <c r="E1342" s="3">
        <v>23680.45</v>
      </c>
      <c r="F1342" s="3">
        <v>0</v>
      </c>
      <c r="G1342" s="3">
        <v>0</v>
      </c>
      <c r="H1342" s="342">
        <v>0</v>
      </c>
      <c r="I1342" s="335"/>
    </row>
    <row r="1343" spans="1:9" x14ac:dyDescent="0.25">
      <c r="A1343" s="341" t="s">
        <v>1994</v>
      </c>
      <c r="B1343" s="335"/>
      <c r="C1343" s="2" t="s">
        <v>1995</v>
      </c>
      <c r="D1343" s="3">
        <v>0</v>
      </c>
      <c r="E1343" s="3">
        <v>19477.95</v>
      </c>
      <c r="F1343" s="3">
        <v>0</v>
      </c>
      <c r="G1343" s="3">
        <v>0</v>
      </c>
      <c r="H1343" s="342">
        <v>0</v>
      </c>
      <c r="I1343" s="335"/>
    </row>
    <row r="1344" spans="1:9" x14ac:dyDescent="0.25">
      <c r="A1344" s="341" t="s">
        <v>1996</v>
      </c>
      <c r="B1344" s="335"/>
      <c r="C1344" s="2" t="s">
        <v>1997</v>
      </c>
      <c r="D1344" s="3">
        <v>0</v>
      </c>
      <c r="E1344" s="3">
        <v>0</v>
      </c>
      <c r="F1344" s="3">
        <v>40277.4</v>
      </c>
      <c r="G1344" s="3">
        <v>0</v>
      </c>
      <c r="H1344" s="342">
        <v>0</v>
      </c>
      <c r="I1344" s="335"/>
    </row>
    <row r="1345" spans="1:9" x14ac:dyDescent="0.25">
      <c r="A1345" s="341" t="s">
        <v>3210</v>
      </c>
      <c r="B1345" s="335"/>
      <c r="C1345" s="2" t="s">
        <v>3209</v>
      </c>
      <c r="D1345" s="3">
        <v>56.5</v>
      </c>
      <c r="E1345" s="3">
        <v>0</v>
      </c>
      <c r="F1345" s="3">
        <v>0</v>
      </c>
      <c r="G1345" s="3">
        <v>0</v>
      </c>
      <c r="H1345" s="342">
        <v>0</v>
      </c>
      <c r="I1345" s="335"/>
    </row>
    <row r="1346" spans="1:9" x14ac:dyDescent="0.25">
      <c r="A1346" s="340" t="s">
        <v>1999</v>
      </c>
      <c r="B1346" s="335"/>
      <c r="C1346" s="1" t="s">
        <v>2</v>
      </c>
      <c r="D1346" s="4">
        <v>863170.31</v>
      </c>
      <c r="E1346" s="4">
        <v>940922.09</v>
      </c>
      <c r="F1346" s="4">
        <v>1260842.58</v>
      </c>
      <c r="G1346" s="49">
        <v>617613.24</v>
      </c>
      <c r="H1346" s="343">
        <v>0</v>
      </c>
      <c r="I1346" s="335"/>
    </row>
    <row r="1347" spans="1:9" x14ac:dyDescent="0.25">
      <c r="A1347" s="340" t="s">
        <v>2</v>
      </c>
      <c r="B1347" s="335"/>
      <c r="C1347" s="1" t="s">
        <v>2</v>
      </c>
      <c r="D1347" s="1" t="s">
        <v>2</v>
      </c>
      <c r="E1347" s="1" t="s">
        <v>2</v>
      </c>
      <c r="F1347" s="1" t="s">
        <v>2</v>
      </c>
      <c r="G1347" s="1" t="s">
        <v>2</v>
      </c>
      <c r="H1347" s="340" t="s">
        <v>2</v>
      </c>
      <c r="I1347" s="335"/>
    </row>
    <row r="1348" spans="1:9" x14ac:dyDescent="0.25">
      <c r="A1348" s="340" t="s">
        <v>2000</v>
      </c>
      <c r="B1348" s="335"/>
      <c r="C1348" s="1" t="s">
        <v>2</v>
      </c>
    </row>
    <row r="1349" spans="1:9" x14ac:dyDescent="0.25">
      <c r="A1349" s="341" t="s">
        <v>2001</v>
      </c>
      <c r="B1349" s="335"/>
      <c r="C1349" s="2" t="s">
        <v>2002</v>
      </c>
      <c r="D1349" s="3">
        <v>3651.24</v>
      </c>
      <c r="E1349" s="3">
        <v>2322.2199999999998</v>
      </c>
      <c r="F1349" s="3">
        <v>2066.08</v>
      </c>
      <c r="G1349" s="3">
        <v>920.8</v>
      </c>
      <c r="H1349" s="342">
        <v>0</v>
      </c>
      <c r="I1349" s="335"/>
    </row>
    <row r="1350" spans="1:9" ht="24" x14ac:dyDescent="0.25">
      <c r="A1350" s="341" t="s">
        <v>2003</v>
      </c>
      <c r="B1350" s="335"/>
      <c r="C1350" s="2" t="s">
        <v>2004</v>
      </c>
      <c r="D1350" s="3">
        <v>227677.01</v>
      </c>
      <c r="E1350" s="3">
        <v>142915.35</v>
      </c>
      <c r="F1350" s="3">
        <v>120358.47</v>
      </c>
      <c r="G1350" s="3">
        <v>46409.68</v>
      </c>
      <c r="H1350" s="342">
        <v>0</v>
      </c>
      <c r="I1350" s="335"/>
    </row>
    <row r="1351" spans="1:9" x14ac:dyDescent="0.25">
      <c r="A1351" s="341" t="s">
        <v>2005</v>
      </c>
      <c r="B1351" s="335"/>
      <c r="C1351" s="2" t="s">
        <v>697</v>
      </c>
      <c r="D1351" s="3">
        <v>0</v>
      </c>
      <c r="E1351" s="3">
        <v>3127</v>
      </c>
      <c r="F1351" s="3">
        <v>3320</v>
      </c>
      <c r="G1351" s="3">
        <v>1121</v>
      </c>
      <c r="H1351" s="342">
        <v>0</v>
      </c>
      <c r="I1351" s="335"/>
    </row>
    <row r="1352" spans="1:9" x14ac:dyDescent="0.25">
      <c r="A1352" s="341" t="s">
        <v>2006</v>
      </c>
      <c r="B1352" s="335"/>
      <c r="C1352" s="2" t="s">
        <v>2007</v>
      </c>
      <c r="D1352" s="3">
        <v>0</v>
      </c>
      <c r="E1352" s="3">
        <v>3784</v>
      </c>
      <c r="F1352" s="3">
        <v>5074</v>
      </c>
      <c r="G1352" s="3">
        <v>3524</v>
      </c>
      <c r="H1352" s="342">
        <v>0</v>
      </c>
      <c r="I1352" s="335"/>
    </row>
    <row r="1353" spans="1:9" x14ac:dyDescent="0.25">
      <c r="A1353" s="341" t="s">
        <v>2008</v>
      </c>
      <c r="B1353" s="335"/>
      <c r="C1353" s="2" t="s">
        <v>2009</v>
      </c>
      <c r="D1353" s="3">
        <v>0</v>
      </c>
      <c r="E1353" s="3">
        <v>1442.25</v>
      </c>
      <c r="F1353" s="3">
        <v>1841.75</v>
      </c>
      <c r="G1353" s="3">
        <v>1178.25</v>
      </c>
      <c r="H1353" s="342">
        <v>0</v>
      </c>
      <c r="I1353" s="335"/>
    </row>
    <row r="1354" spans="1:9" x14ac:dyDescent="0.25">
      <c r="A1354" s="341" t="s">
        <v>2010</v>
      </c>
      <c r="B1354" s="335"/>
      <c r="C1354" s="2" t="s">
        <v>2011</v>
      </c>
      <c r="D1354" s="3">
        <v>0</v>
      </c>
      <c r="E1354" s="3">
        <v>0</v>
      </c>
      <c r="F1354" s="3">
        <v>-252</v>
      </c>
      <c r="G1354" s="3">
        <v>0</v>
      </c>
      <c r="H1354" s="342">
        <v>0</v>
      </c>
      <c r="I1354" s="335"/>
    </row>
    <row r="1355" spans="1:9" x14ac:dyDescent="0.25">
      <c r="A1355" s="341" t="s">
        <v>2012</v>
      </c>
      <c r="B1355" s="335"/>
      <c r="C1355" s="2" t="s">
        <v>2013</v>
      </c>
      <c r="D1355" s="3">
        <v>0</v>
      </c>
      <c r="E1355" s="3">
        <v>0</v>
      </c>
      <c r="F1355" s="3">
        <v>-66.25</v>
      </c>
      <c r="G1355" s="3">
        <v>0</v>
      </c>
      <c r="H1355" s="342">
        <v>0</v>
      </c>
      <c r="I1355" s="335"/>
    </row>
    <row r="1356" spans="1:9" x14ac:dyDescent="0.25">
      <c r="A1356" s="340" t="s">
        <v>2014</v>
      </c>
      <c r="B1356" s="335"/>
      <c r="C1356" s="1" t="s">
        <v>2</v>
      </c>
      <c r="D1356" s="4">
        <v>231328.25</v>
      </c>
      <c r="E1356" s="4">
        <v>153590.82</v>
      </c>
      <c r="F1356" s="4">
        <v>132342.04999999999</v>
      </c>
      <c r="G1356" s="49">
        <v>53153.73</v>
      </c>
      <c r="H1356" s="343">
        <v>0</v>
      </c>
      <c r="I1356" s="335"/>
    </row>
    <row r="1357" spans="1:9" x14ac:dyDescent="0.25">
      <c r="A1357" s="340" t="s">
        <v>2</v>
      </c>
      <c r="B1357" s="335"/>
      <c r="C1357" s="1" t="s">
        <v>2</v>
      </c>
      <c r="D1357" s="1" t="s">
        <v>2</v>
      </c>
      <c r="E1357" s="1" t="s">
        <v>2</v>
      </c>
      <c r="F1357" s="1" t="s">
        <v>2</v>
      </c>
      <c r="G1357" s="1" t="s">
        <v>2</v>
      </c>
      <c r="H1357" s="340" t="s">
        <v>2</v>
      </c>
      <c r="I1357" s="335"/>
    </row>
    <row r="1358" spans="1:9" x14ac:dyDescent="0.25">
      <c r="A1358" s="340" t="s">
        <v>2015</v>
      </c>
      <c r="B1358" s="335"/>
      <c r="C1358" s="1" t="s">
        <v>2</v>
      </c>
    </row>
    <row r="1359" spans="1:9" x14ac:dyDescent="0.25">
      <c r="A1359" s="341" t="s">
        <v>2016</v>
      </c>
      <c r="B1359" s="335"/>
      <c r="C1359" s="2" t="s">
        <v>2017</v>
      </c>
      <c r="D1359" s="3">
        <v>18593.490000000002</v>
      </c>
      <c r="E1359" s="3">
        <v>5286.89</v>
      </c>
      <c r="F1359" s="3">
        <v>12251.96</v>
      </c>
      <c r="G1359" s="3">
        <v>5827.87</v>
      </c>
      <c r="H1359" s="342">
        <v>0</v>
      </c>
      <c r="I1359" s="335"/>
    </row>
    <row r="1360" spans="1:9" x14ac:dyDescent="0.25">
      <c r="A1360" s="340" t="s">
        <v>2018</v>
      </c>
      <c r="B1360" s="335"/>
      <c r="C1360" s="1" t="s">
        <v>2</v>
      </c>
      <c r="D1360" s="4">
        <v>18593.490000000002</v>
      </c>
      <c r="E1360" s="4">
        <v>5286.89</v>
      </c>
      <c r="F1360" s="4">
        <v>12251.96</v>
      </c>
      <c r="G1360" s="4">
        <v>5827.87</v>
      </c>
      <c r="H1360" s="343">
        <v>0</v>
      </c>
      <c r="I1360" s="335"/>
    </row>
    <row r="1361" spans="1:9" x14ac:dyDescent="0.25">
      <c r="A1361" s="340" t="s">
        <v>2</v>
      </c>
      <c r="B1361" s="335"/>
      <c r="C1361" s="1" t="s">
        <v>2</v>
      </c>
      <c r="D1361" s="1" t="s">
        <v>2</v>
      </c>
      <c r="E1361" s="1" t="s">
        <v>2</v>
      </c>
      <c r="F1361" s="1" t="s">
        <v>2</v>
      </c>
      <c r="G1361" s="1" t="s">
        <v>2</v>
      </c>
      <c r="H1361" s="340" t="s">
        <v>2</v>
      </c>
      <c r="I1361" s="335"/>
    </row>
    <row r="1362" spans="1:9" x14ac:dyDescent="0.25">
      <c r="A1362" s="341" t="s">
        <v>2</v>
      </c>
      <c r="B1362" s="335"/>
      <c r="C1362" s="2" t="s">
        <v>2</v>
      </c>
      <c r="D1362" s="2" t="s">
        <v>2</v>
      </c>
      <c r="E1362" s="2" t="s">
        <v>2</v>
      </c>
      <c r="F1362" s="2" t="s">
        <v>2</v>
      </c>
      <c r="G1362" s="2" t="s">
        <v>2</v>
      </c>
      <c r="H1362" s="341" t="s">
        <v>2</v>
      </c>
      <c r="I1362" s="335"/>
    </row>
    <row r="1363" spans="1:9" x14ac:dyDescent="0.25">
      <c r="A1363" s="340" t="s">
        <v>3208</v>
      </c>
      <c r="B1363" s="335"/>
      <c r="C1363" s="1" t="s">
        <v>2</v>
      </c>
      <c r="D1363" s="4">
        <v>27288345.859999999</v>
      </c>
      <c r="E1363" s="4">
        <v>64280341.469999999</v>
      </c>
      <c r="F1363" s="4">
        <v>44839848.600000001</v>
      </c>
      <c r="G1363" s="4">
        <v>26684373.98</v>
      </c>
      <c r="H1363" s="343">
        <v>0</v>
      </c>
      <c r="I1363" s="335"/>
    </row>
    <row r="1364" spans="1:9" x14ac:dyDescent="0.25">
      <c r="A1364" s="340" t="s">
        <v>2</v>
      </c>
      <c r="B1364" s="335"/>
      <c r="C1364" s="1" t="s">
        <v>2</v>
      </c>
      <c r="D1364" s="1" t="s">
        <v>2</v>
      </c>
      <c r="E1364" s="1" t="s">
        <v>2</v>
      </c>
      <c r="F1364" s="1" t="s">
        <v>2</v>
      </c>
      <c r="G1364" s="1" t="s">
        <v>2</v>
      </c>
      <c r="H1364" s="340" t="s">
        <v>2</v>
      </c>
      <c r="I1364" s="335"/>
    </row>
    <row r="1365" spans="1:9" x14ac:dyDescent="0.25">
      <c r="A1365" s="340" t="s">
        <v>2</v>
      </c>
      <c r="B1365" s="335"/>
      <c r="C1365" s="1" t="s">
        <v>2</v>
      </c>
      <c r="D1365" s="1" t="s">
        <v>2</v>
      </c>
      <c r="E1365" s="1" t="s">
        <v>2</v>
      </c>
      <c r="F1365" s="1" t="s">
        <v>2</v>
      </c>
      <c r="G1365" s="1" t="s">
        <v>2</v>
      </c>
      <c r="H1365" s="340" t="s">
        <v>2</v>
      </c>
      <c r="I1365" s="335"/>
    </row>
    <row r="1366" spans="1:9" x14ac:dyDescent="0.25">
      <c r="A1366" s="340" t="s">
        <v>2</v>
      </c>
      <c r="B1366" s="335"/>
      <c r="C1366" s="1" t="s">
        <v>2</v>
      </c>
      <c r="D1366" s="1" t="s">
        <v>2</v>
      </c>
      <c r="E1366" s="1" t="s">
        <v>2</v>
      </c>
      <c r="F1366" s="1" t="s">
        <v>2</v>
      </c>
      <c r="G1366" s="1" t="s">
        <v>2</v>
      </c>
      <c r="H1366" s="340" t="s">
        <v>2</v>
      </c>
      <c r="I1366" s="335"/>
    </row>
  </sheetData>
  <mergeCells count="2668">
    <mergeCell ref="A1358:B1358"/>
    <mergeCell ref="A1359:B1359"/>
    <mergeCell ref="H1359:I1359"/>
    <mergeCell ref="A1360:B1360"/>
    <mergeCell ref="H1360:I1360"/>
    <mergeCell ref="A1361:B1361"/>
    <mergeCell ref="H1361:I1361"/>
    <mergeCell ref="A1365:B1365"/>
    <mergeCell ref="H1365:I1365"/>
    <mergeCell ref="A1366:B1366"/>
    <mergeCell ref="H1366:I1366"/>
    <mergeCell ref="A1362:B1362"/>
    <mergeCell ref="H1362:I1362"/>
    <mergeCell ref="A1363:B1363"/>
    <mergeCell ref="H1363:I1363"/>
    <mergeCell ref="A1364:B1364"/>
    <mergeCell ref="H1364:I1364"/>
    <mergeCell ref="A1349:B1349"/>
    <mergeCell ref="H1349:I1349"/>
    <mergeCell ref="A1350:B1350"/>
    <mergeCell ref="H1350:I1350"/>
    <mergeCell ref="A1351:B1351"/>
    <mergeCell ref="H1351:I1351"/>
    <mergeCell ref="A1352:B1352"/>
    <mergeCell ref="H1352:I1352"/>
    <mergeCell ref="A1353:B1353"/>
    <mergeCell ref="H1353:I1353"/>
    <mergeCell ref="A1354:B1354"/>
    <mergeCell ref="H1354:I1354"/>
    <mergeCell ref="A1355:B1355"/>
    <mergeCell ref="H1355:I1355"/>
    <mergeCell ref="A1356:B1356"/>
    <mergeCell ref="H1356:I1356"/>
    <mergeCell ref="A1357:B1357"/>
    <mergeCell ref="H1357:I1357"/>
    <mergeCell ref="A1340:B1340"/>
    <mergeCell ref="H1340:I1340"/>
    <mergeCell ref="A1341:B1341"/>
    <mergeCell ref="H1341:I1341"/>
    <mergeCell ref="A1342:B1342"/>
    <mergeCell ref="H1342:I1342"/>
    <mergeCell ref="A1343:B1343"/>
    <mergeCell ref="H1343:I1343"/>
    <mergeCell ref="A1344:B1344"/>
    <mergeCell ref="H1344:I1344"/>
    <mergeCell ref="A1345:B1345"/>
    <mergeCell ref="H1345:I1345"/>
    <mergeCell ref="A1346:B1346"/>
    <mergeCell ref="H1346:I1346"/>
    <mergeCell ref="A1347:B1347"/>
    <mergeCell ref="H1347:I1347"/>
    <mergeCell ref="A1348:B1348"/>
    <mergeCell ref="A1331:B1331"/>
    <mergeCell ref="H1331:I1331"/>
    <mergeCell ref="A1332:B1332"/>
    <mergeCell ref="H1332:I1332"/>
    <mergeCell ref="A1333:B1333"/>
    <mergeCell ref="H1333:I1333"/>
    <mergeCell ref="A1334:B1334"/>
    <mergeCell ref="H1334:I1334"/>
    <mergeCell ref="A1335:B1335"/>
    <mergeCell ref="H1335:I1335"/>
    <mergeCell ref="A1336:B1336"/>
    <mergeCell ref="H1336:I1336"/>
    <mergeCell ref="A1337:B1337"/>
    <mergeCell ref="H1337:I1337"/>
    <mergeCell ref="A1338:B1338"/>
    <mergeCell ref="H1338:I1338"/>
    <mergeCell ref="A1339:B1339"/>
    <mergeCell ref="H1339:I1339"/>
    <mergeCell ref="A1322:B1322"/>
    <mergeCell ref="H1322:I1322"/>
    <mergeCell ref="A1323:B1323"/>
    <mergeCell ref="H1323:I1323"/>
    <mergeCell ref="A1324:B1324"/>
    <mergeCell ref="H1324:I1324"/>
    <mergeCell ref="A1325:B1325"/>
    <mergeCell ref="H1325:I1325"/>
    <mergeCell ref="A1326:B1326"/>
    <mergeCell ref="H1326:I1326"/>
    <mergeCell ref="A1327:B1327"/>
    <mergeCell ref="H1327:I1327"/>
    <mergeCell ref="A1328:B1328"/>
    <mergeCell ref="H1328:I1328"/>
    <mergeCell ref="A1329:B1329"/>
    <mergeCell ref="H1329:I1329"/>
    <mergeCell ref="A1330:B1330"/>
    <mergeCell ref="H1330:I1330"/>
    <mergeCell ref="A1313:B1313"/>
    <mergeCell ref="H1313:I1313"/>
    <mergeCell ref="A1314:B1314"/>
    <mergeCell ref="H1314:I1314"/>
    <mergeCell ref="A1315:B1315"/>
    <mergeCell ref="H1315:I1315"/>
    <mergeCell ref="A1316:B1316"/>
    <mergeCell ref="H1316:I1316"/>
    <mergeCell ref="A1317:B1317"/>
    <mergeCell ref="H1317:I1317"/>
    <mergeCell ref="A1318:B1318"/>
    <mergeCell ref="H1318:I1318"/>
    <mergeCell ref="A1319:B1319"/>
    <mergeCell ref="H1319:I1319"/>
    <mergeCell ref="A1320:B1320"/>
    <mergeCell ref="H1320:I1320"/>
    <mergeCell ref="A1321:B1321"/>
    <mergeCell ref="H1321:I1321"/>
    <mergeCell ref="A1304:B1304"/>
    <mergeCell ref="H1304:I1304"/>
    <mergeCell ref="A1305:B1305"/>
    <mergeCell ref="H1305:I1305"/>
    <mergeCell ref="A1306:B1306"/>
    <mergeCell ref="H1306:I1306"/>
    <mergeCell ref="A1307:B1307"/>
    <mergeCell ref="H1307:I1307"/>
    <mergeCell ref="A1308:B1308"/>
    <mergeCell ref="H1308:I1308"/>
    <mergeCell ref="A1309:B1309"/>
    <mergeCell ref="H1309:I1309"/>
    <mergeCell ref="A1310:B1310"/>
    <mergeCell ref="H1310:I1310"/>
    <mergeCell ref="A1311:B1311"/>
    <mergeCell ref="H1311:I1311"/>
    <mergeCell ref="A1312:B1312"/>
    <mergeCell ref="H1312:I1312"/>
    <mergeCell ref="A1295:B1295"/>
    <mergeCell ref="H1295:I1295"/>
    <mergeCell ref="A1296:B1296"/>
    <mergeCell ref="H1296:I1296"/>
    <mergeCell ref="A1297:B1297"/>
    <mergeCell ref="H1297:I1297"/>
    <mergeCell ref="A1298:B1298"/>
    <mergeCell ref="H1298:I1298"/>
    <mergeCell ref="A1299:B1299"/>
    <mergeCell ref="H1299:I1299"/>
    <mergeCell ref="A1300:B1300"/>
    <mergeCell ref="H1300:I1300"/>
    <mergeCell ref="A1301:B1301"/>
    <mergeCell ref="H1301:I1301"/>
    <mergeCell ref="A1302:B1302"/>
    <mergeCell ref="H1302:I1302"/>
    <mergeCell ref="A1303:B1303"/>
    <mergeCell ref="H1303:I1303"/>
    <mergeCell ref="A1286:B1286"/>
    <mergeCell ref="H1286:I1286"/>
    <mergeCell ref="A1287:B1287"/>
    <mergeCell ref="H1287:I1287"/>
    <mergeCell ref="A1288:B1288"/>
    <mergeCell ref="H1288:I1288"/>
    <mergeCell ref="A1289:B1289"/>
    <mergeCell ref="H1289:I1289"/>
    <mergeCell ref="A1290:B1290"/>
    <mergeCell ref="H1290:I1290"/>
    <mergeCell ref="A1291:B1291"/>
    <mergeCell ref="H1291:I1291"/>
    <mergeCell ref="A1292:B1292"/>
    <mergeCell ref="H1292:I1292"/>
    <mergeCell ref="A1293:B1293"/>
    <mergeCell ref="H1293:I1293"/>
    <mergeCell ref="A1294:B1294"/>
    <mergeCell ref="H1294:I1294"/>
    <mergeCell ref="A1277:B1277"/>
    <mergeCell ref="H1277:I1277"/>
    <mergeCell ref="A1278:B1278"/>
    <mergeCell ref="H1278:I1278"/>
    <mergeCell ref="A1279:B1279"/>
    <mergeCell ref="H1279:I1279"/>
    <mergeCell ref="A1280:B1280"/>
    <mergeCell ref="H1280:I1280"/>
    <mergeCell ref="A1281:B1281"/>
    <mergeCell ref="H1281:I1281"/>
    <mergeCell ref="A1282:B1282"/>
    <mergeCell ref="H1282:I1282"/>
    <mergeCell ref="A1283:B1283"/>
    <mergeCell ref="H1283:I1283"/>
    <mergeCell ref="A1284:B1284"/>
    <mergeCell ref="A1285:B1285"/>
    <mergeCell ref="H1285:I1285"/>
    <mergeCell ref="A1268:B1268"/>
    <mergeCell ref="H1268:I1268"/>
    <mergeCell ref="A1269:B1269"/>
    <mergeCell ref="H1269:I1269"/>
    <mergeCell ref="A1270:B1270"/>
    <mergeCell ref="H1270:I1270"/>
    <mergeCell ref="A1271:B1271"/>
    <mergeCell ref="H1271:I1271"/>
    <mergeCell ref="A1272:B1272"/>
    <mergeCell ref="A1273:B1273"/>
    <mergeCell ref="H1273:I1273"/>
    <mergeCell ref="A1274:B1274"/>
    <mergeCell ref="H1274:I1274"/>
    <mergeCell ref="A1275:B1275"/>
    <mergeCell ref="H1275:I1275"/>
    <mergeCell ref="A1276:B1276"/>
    <mergeCell ref="H1276:I1276"/>
    <mergeCell ref="A1258:B1258"/>
    <mergeCell ref="H1258:I1258"/>
    <mergeCell ref="A1259:B1259"/>
    <mergeCell ref="A1260:B1260"/>
    <mergeCell ref="H1260:I1260"/>
    <mergeCell ref="A1261:B1261"/>
    <mergeCell ref="H1261:I1261"/>
    <mergeCell ref="A1262:B1262"/>
    <mergeCell ref="H1262:I1262"/>
    <mergeCell ref="A1263:B1263"/>
    <mergeCell ref="H1263:I1263"/>
    <mergeCell ref="A1264:B1264"/>
    <mergeCell ref="A1265:B1265"/>
    <mergeCell ref="H1265:I1265"/>
    <mergeCell ref="A1266:B1266"/>
    <mergeCell ref="H1266:I1266"/>
    <mergeCell ref="A1267:B1267"/>
    <mergeCell ref="H1267:I1267"/>
    <mergeCell ref="A1248:B1248"/>
    <mergeCell ref="A1249:B1249"/>
    <mergeCell ref="H1249:I1249"/>
    <mergeCell ref="A1250:B1250"/>
    <mergeCell ref="H1250:I1250"/>
    <mergeCell ref="A1251:B1251"/>
    <mergeCell ref="H1251:I1251"/>
    <mergeCell ref="A1252:B1252"/>
    <mergeCell ref="H1252:I1252"/>
    <mergeCell ref="A1253:B1253"/>
    <mergeCell ref="H1253:I1253"/>
    <mergeCell ref="A1254:B1254"/>
    <mergeCell ref="A1255:B1255"/>
    <mergeCell ref="H1255:I1255"/>
    <mergeCell ref="A1256:B1256"/>
    <mergeCell ref="H1256:I1256"/>
    <mergeCell ref="A1257:B1257"/>
    <mergeCell ref="H1257:I1257"/>
    <mergeCell ref="A1239:B1239"/>
    <mergeCell ref="H1239:I1239"/>
    <mergeCell ref="A1240:B1240"/>
    <mergeCell ref="H1240:I1240"/>
    <mergeCell ref="A1241:B1241"/>
    <mergeCell ref="H1241:I1241"/>
    <mergeCell ref="A1242:B1242"/>
    <mergeCell ref="H1242:I1242"/>
    <mergeCell ref="A1243:B1243"/>
    <mergeCell ref="H1243:I1243"/>
    <mergeCell ref="A1244:B1244"/>
    <mergeCell ref="H1244:I1244"/>
    <mergeCell ref="A1245:B1245"/>
    <mergeCell ref="H1245:I1245"/>
    <mergeCell ref="A1246:B1246"/>
    <mergeCell ref="H1246:I1246"/>
    <mergeCell ref="A1247:B1247"/>
    <mergeCell ref="H1247:I1247"/>
    <mergeCell ref="A1230:B1230"/>
    <mergeCell ref="H1230:I1230"/>
    <mergeCell ref="A1231:B1231"/>
    <mergeCell ref="H1231:I1231"/>
    <mergeCell ref="A1232:B1232"/>
    <mergeCell ref="H1232:I1232"/>
    <mergeCell ref="A1233:B1233"/>
    <mergeCell ref="H1233:I1233"/>
    <mergeCell ref="A1234:B1234"/>
    <mergeCell ref="H1234:I1234"/>
    <mergeCell ref="A1235:B1235"/>
    <mergeCell ref="H1235:I1235"/>
    <mergeCell ref="A1236:B1236"/>
    <mergeCell ref="H1236:I1236"/>
    <mergeCell ref="A1237:B1237"/>
    <mergeCell ref="A1238:B1238"/>
    <mergeCell ref="H1238:I1238"/>
    <mergeCell ref="A1221:B1221"/>
    <mergeCell ref="H1221:I1221"/>
    <mergeCell ref="A1222:B1222"/>
    <mergeCell ref="H1222:I1222"/>
    <mergeCell ref="A1223:B1223"/>
    <mergeCell ref="H1223:I1223"/>
    <mergeCell ref="A1224:B1224"/>
    <mergeCell ref="H1224:I1224"/>
    <mergeCell ref="A1225:B1225"/>
    <mergeCell ref="H1225:I1225"/>
    <mergeCell ref="A1226:B1226"/>
    <mergeCell ref="H1226:I1226"/>
    <mergeCell ref="A1227:B1227"/>
    <mergeCell ref="H1227:I1227"/>
    <mergeCell ref="A1228:B1228"/>
    <mergeCell ref="H1228:I1228"/>
    <mergeCell ref="A1229:B1229"/>
    <mergeCell ref="H1229:I1229"/>
    <mergeCell ref="A1212:B1212"/>
    <mergeCell ref="A1213:B1213"/>
    <mergeCell ref="H1213:I1213"/>
    <mergeCell ref="A1214:B1214"/>
    <mergeCell ref="H1214:I1214"/>
    <mergeCell ref="A1215:B1215"/>
    <mergeCell ref="H1215:I1215"/>
    <mergeCell ref="A1216:B1216"/>
    <mergeCell ref="H1216:I1216"/>
    <mergeCell ref="A1217:B1217"/>
    <mergeCell ref="H1217:I1217"/>
    <mergeCell ref="A1218:B1218"/>
    <mergeCell ref="H1218:I1218"/>
    <mergeCell ref="A1219:B1219"/>
    <mergeCell ref="H1219:I1219"/>
    <mergeCell ref="A1220:B1220"/>
    <mergeCell ref="H1220:I1220"/>
    <mergeCell ref="A1203:B1203"/>
    <mergeCell ref="H1203:I1203"/>
    <mergeCell ref="A1204:B1204"/>
    <mergeCell ref="H1204:I1204"/>
    <mergeCell ref="A1205:B1205"/>
    <mergeCell ref="H1205:I1205"/>
    <mergeCell ref="A1206:B1206"/>
    <mergeCell ref="H1206:I1206"/>
    <mergeCell ref="A1207:B1207"/>
    <mergeCell ref="H1207:I1207"/>
    <mergeCell ref="A1208:B1208"/>
    <mergeCell ref="H1208:I1208"/>
    <mergeCell ref="A1209:B1209"/>
    <mergeCell ref="H1209:I1209"/>
    <mergeCell ref="A1210:B1210"/>
    <mergeCell ref="H1210:I1210"/>
    <mergeCell ref="A1211:B1211"/>
    <mergeCell ref="H1211:I1211"/>
    <mergeCell ref="A1194:B1194"/>
    <mergeCell ref="H1194:I1194"/>
    <mergeCell ref="A1195:B1195"/>
    <mergeCell ref="H1195:I1195"/>
    <mergeCell ref="A1196:B1196"/>
    <mergeCell ref="H1196:I1196"/>
    <mergeCell ref="A1197:B1197"/>
    <mergeCell ref="H1197:I1197"/>
    <mergeCell ref="A1198:B1198"/>
    <mergeCell ref="H1198:I1198"/>
    <mergeCell ref="A1199:B1199"/>
    <mergeCell ref="H1199:I1199"/>
    <mergeCell ref="A1200:B1200"/>
    <mergeCell ref="H1200:I1200"/>
    <mergeCell ref="A1201:B1201"/>
    <mergeCell ref="H1201:I1201"/>
    <mergeCell ref="A1202:B1202"/>
    <mergeCell ref="H1202:I1202"/>
    <mergeCell ref="A1185:B1185"/>
    <mergeCell ref="H1185:I1185"/>
    <mergeCell ref="A1186:B1186"/>
    <mergeCell ref="H1186:I1186"/>
    <mergeCell ref="A1187:B1187"/>
    <mergeCell ref="H1187:I1187"/>
    <mergeCell ref="A1188:B1188"/>
    <mergeCell ref="H1188:I1188"/>
    <mergeCell ref="A1189:B1189"/>
    <mergeCell ref="H1189:I1189"/>
    <mergeCell ref="A1190:B1190"/>
    <mergeCell ref="H1190:I1190"/>
    <mergeCell ref="A1191:B1191"/>
    <mergeCell ref="H1191:I1191"/>
    <mergeCell ref="A1192:B1192"/>
    <mergeCell ref="H1192:I1192"/>
    <mergeCell ref="A1193:B1193"/>
    <mergeCell ref="H1193:I1193"/>
    <mergeCell ref="A1176:B1176"/>
    <mergeCell ref="H1176:I1176"/>
    <mergeCell ref="A1177:B1177"/>
    <mergeCell ref="H1177:I1177"/>
    <mergeCell ref="A1178:B1178"/>
    <mergeCell ref="H1178:I1178"/>
    <mergeCell ref="A1179:B1179"/>
    <mergeCell ref="H1179:I1179"/>
    <mergeCell ref="A1180:B1180"/>
    <mergeCell ref="H1180:I1180"/>
    <mergeCell ref="A1181:B1181"/>
    <mergeCell ref="H1181:I1181"/>
    <mergeCell ref="A1182:B1182"/>
    <mergeCell ref="H1182:I1182"/>
    <mergeCell ref="A1183:B1183"/>
    <mergeCell ref="H1183:I1183"/>
    <mergeCell ref="A1184:B1184"/>
    <mergeCell ref="H1184:I1184"/>
    <mergeCell ref="A1167:B1167"/>
    <mergeCell ref="H1167:I1167"/>
    <mergeCell ref="A1168:B1168"/>
    <mergeCell ref="H1168:I1168"/>
    <mergeCell ref="A1169:B1169"/>
    <mergeCell ref="H1169:I1169"/>
    <mergeCell ref="A1170:B1170"/>
    <mergeCell ref="H1170:I1170"/>
    <mergeCell ref="A1171:B1171"/>
    <mergeCell ref="H1171:I1171"/>
    <mergeCell ref="A1172:B1172"/>
    <mergeCell ref="H1172:I1172"/>
    <mergeCell ref="A1173:B1173"/>
    <mergeCell ref="H1173:I1173"/>
    <mergeCell ref="A1174:B1174"/>
    <mergeCell ref="H1174:I1174"/>
    <mergeCell ref="A1175:B1175"/>
    <mergeCell ref="H1175:I1175"/>
    <mergeCell ref="A1158:B1158"/>
    <mergeCell ref="H1158:I1158"/>
    <mergeCell ref="A1159:B1159"/>
    <mergeCell ref="H1159:I1159"/>
    <mergeCell ref="A1160:B1160"/>
    <mergeCell ref="H1160:I1160"/>
    <mergeCell ref="A1161:B1161"/>
    <mergeCell ref="H1161:I1161"/>
    <mergeCell ref="A1162:B1162"/>
    <mergeCell ref="H1162:I1162"/>
    <mergeCell ref="A1163:B1163"/>
    <mergeCell ref="H1163:I1163"/>
    <mergeCell ref="A1164:B1164"/>
    <mergeCell ref="H1164:I1164"/>
    <mergeCell ref="A1165:B1165"/>
    <mergeCell ref="H1165:I1165"/>
    <mergeCell ref="A1166:B1166"/>
    <mergeCell ref="H1166:I1166"/>
    <mergeCell ref="A1149:B1149"/>
    <mergeCell ref="H1149:I1149"/>
    <mergeCell ref="A1150:B1150"/>
    <mergeCell ref="H1150:I1150"/>
    <mergeCell ref="A1151:B1151"/>
    <mergeCell ref="H1151:I1151"/>
    <mergeCell ref="A1152:B1152"/>
    <mergeCell ref="H1152:I1152"/>
    <mergeCell ref="A1153:B1153"/>
    <mergeCell ref="H1153:I1153"/>
    <mergeCell ref="A1154:B1154"/>
    <mergeCell ref="H1154:I1154"/>
    <mergeCell ref="A1155:B1155"/>
    <mergeCell ref="H1155:I1155"/>
    <mergeCell ref="A1156:B1156"/>
    <mergeCell ref="H1156:I1156"/>
    <mergeCell ref="A1157:B1157"/>
    <mergeCell ref="H1157:I1157"/>
    <mergeCell ref="A1140:B1140"/>
    <mergeCell ref="H1140:I1140"/>
    <mergeCell ref="A1141:B1141"/>
    <mergeCell ref="H1141:I1141"/>
    <mergeCell ref="A1142:B1142"/>
    <mergeCell ref="H1142:I1142"/>
    <mergeCell ref="A1143:B1143"/>
    <mergeCell ref="H1143:I1143"/>
    <mergeCell ref="A1144:B1144"/>
    <mergeCell ref="A1145:B1145"/>
    <mergeCell ref="H1145:I1145"/>
    <mergeCell ref="A1146:B1146"/>
    <mergeCell ref="H1146:I1146"/>
    <mergeCell ref="A1147:B1147"/>
    <mergeCell ref="H1147:I1147"/>
    <mergeCell ref="A1148:B1148"/>
    <mergeCell ref="H1148:I1148"/>
    <mergeCell ref="A1130:B1130"/>
    <mergeCell ref="H1130:I1130"/>
    <mergeCell ref="A1131:B1131"/>
    <mergeCell ref="H1131:I1131"/>
    <mergeCell ref="A1132:B1132"/>
    <mergeCell ref="H1132:I1132"/>
    <mergeCell ref="A1133:B1133"/>
    <mergeCell ref="H1133:I1133"/>
    <mergeCell ref="A1134:B1134"/>
    <mergeCell ref="H1134:I1134"/>
    <mergeCell ref="A1135:B1135"/>
    <mergeCell ref="A1136:B1136"/>
    <mergeCell ref="A1137:B1137"/>
    <mergeCell ref="H1137:I1137"/>
    <mergeCell ref="A1138:B1138"/>
    <mergeCell ref="H1138:I1138"/>
    <mergeCell ref="A1139:B1139"/>
    <mergeCell ref="H1139:I1139"/>
    <mergeCell ref="A1121:B1121"/>
    <mergeCell ref="H1121:I1121"/>
    <mergeCell ref="A1122:B1122"/>
    <mergeCell ref="H1122:I1122"/>
    <mergeCell ref="A1123:B1123"/>
    <mergeCell ref="H1123:I1123"/>
    <mergeCell ref="A1124:B1124"/>
    <mergeCell ref="H1124:I1124"/>
    <mergeCell ref="A1125:B1125"/>
    <mergeCell ref="H1125:I1125"/>
    <mergeCell ref="A1126:B1126"/>
    <mergeCell ref="H1126:I1126"/>
    <mergeCell ref="A1127:B1127"/>
    <mergeCell ref="H1127:I1127"/>
    <mergeCell ref="A1128:B1128"/>
    <mergeCell ref="H1128:I1128"/>
    <mergeCell ref="A1129:B1129"/>
    <mergeCell ref="H1129:I1129"/>
    <mergeCell ref="A1112:B1112"/>
    <mergeCell ref="H1112:I1112"/>
    <mergeCell ref="A1113:B1113"/>
    <mergeCell ref="H1113:I1113"/>
    <mergeCell ref="A1114:B1114"/>
    <mergeCell ref="H1114:I1114"/>
    <mergeCell ref="A1115:B1115"/>
    <mergeCell ref="H1115:I1115"/>
    <mergeCell ref="A1116:B1116"/>
    <mergeCell ref="H1116:I1116"/>
    <mergeCell ref="A1117:B1117"/>
    <mergeCell ref="H1117:I1117"/>
    <mergeCell ref="A1118:B1118"/>
    <mergeCell ref="H1118:I1118"/>
    <mergeCell ref="A1119:B1119"/>
    <mergeCell ref="H1119:I1119"/>
    <mergeCell ref="A1120:B1120"/>
    <mergeCell ref="H1120:I1120"/>
    <mergeCell ref="A1103:B1103"/>
    <mergeCell ref="H1103:I1103"/>
    <mergeCell ref="A1104:B1104"/>
    <mergeCell ref="H1104:I1104"/>
    <mergeCell ref="A1105:B1105"/>
    <mergeCell ref="H1105:I1105"/>
    <mergeCell ref="A1106:B1106"/>
    <mergeCell ref="H1106:I1106"/>
    <mergeCell ref="A1107:B1107"/>
    <mergeCell ref="H1107:I1107"/>
    <mergeCell ref="A1108:B1108"/>
    <mergeCell ref="H1108:I1108"/>
    <mergeCell ref="A1109:B1109"/>
    <mergeCell ref="A1110:B1110"/>
    <mergeCell ref="H1110:I1110"/>
    <mergeCell ref="A1111:B1111"/>
    <mergeCell ref="H1111:I1111"/>
    <mergeCell ref="A1094:B1094"/>
    <mergeCell ref="H1094:I1094"/>
    <mergeCell ref="A1095:B1095"/>
    <mergeCell ref="H1095:I1095"/>
    <mergeCell ref="A1096:B1096"/>
    <mergeCell ref="H1096:I1096"/>
    <mergeCell ref="A1097:B1097"/>
    <mergeCell ref="H1097:I1097"/>
    <mergeCell ref="A1098:B1098"/>
    <mergeCell ref="H1098:I1098"/>
    <mergeCell ref="A1099:B1099"/>
    <mergeCell ref="H1099:I1099"/>
    <mergeCell ref="A1100:B1100"/>
    <mergeCell ref="H1100:I1100"/>
    <mergeCell ref="A1101:B1101"/>
    <mergeCell ref="H1101:I1101"/>
    <mergeCell ref="A1102:B1102"/>
    <mergeCell ref="H1102:I1102"/>
    <mergeCell ref="A1085:B1085"/>
    <mergeCell ref="H1085:I1085"/>
    <mergeCell ref="A1086:B1086"/>
    <mergeCell ref="H1086:I1086"/>
    <mergeCell ref="A1087:B1087"/>
    <mergeCell ref="H1087:I1087"/>
    <mergeCell ref="A1088:B1088"/>
    <mergeCell ref="H1088:I1088"/>
    <mergeCell ref="A1089:B1089"/>
    <mergeCell ref="H1089:I1089"/>
    <mergeCell ref="A1090:B1090"/>
    <mergeCell ref="H1090:I1090"/>
    <mergeCell ref="A1091:B1091"/>
    <mergeCell ref="H1091:I1091"/>
    <mergeCell ref="A1092:B1092"/>
    <mergeCell ref="H1092:I1092"/>
    <mergeCell ref="A1093:B1093"/>
    <mergeCell ref="H1093:I1093"/>
    <mergeCell ref="A1076:B1076"/>
    <mergeCell ref="H1076:I1076"/>
    <mergeCell ref="A1077:B1077"/>
    <mergeCell ref="H1077:I1077"/>
    <mergeCell ref="A1078:B1078"/>
    <mergeCell ref="H1078:I1078"/>
    <mergeCell ref="A1079:B1079"/>
    <mergeCell ref="H1079:I1079"/>
    <mergeCell ref="A1080:B1080"/>
    <mergeCell ref="H1080:I1080"/>
    <mergeCell ref="A1081:B1081"/>
    <mergeCell ref="H1081:I1081"/>
    <mergeCell ref="A1082:B1082"/>
    <mergeCell ref="H1082:I1082"/>
    <mergeCell ref="A1083:B1083"/>
    <mergeCell ref="H1083:I1083"/>
    <mergeCell ref="A1084:B1084"/>
    <mergeCell ref="A1067:B1067"/>
    <mergeCell ref="H1067:I1067"/>
    <mergeCell ref="A1068:B1068"/>
    <mergeCell ref="H1068:I1068"/>
    <mergeCell ref="A1069:B1069"/>
    <mergeCell ref="H1069:I1069"/>
    <mergeCell ref="A1070:B1070"/>
    <mergeCell ref="H1070:I1070"/>
    <mergeCell ref="A1071:B1071"/>
    <mergeCell ref="H1071:I1071"/>
    <mergeCell ref="A1072:B1072"/>
    <mergeCell ref="H1072:I1072"/>
    <mergeCell ref="A1073:B1073"/>
    <mergeCell ref="H1073:I1073"/>
    <mergeCell ref="A1074:B1074"/>
    <mergeCell ref="H1074:I1074"/>
    <mergeCell ref="A1075:B1075"/>
    <mergeCell ref="H1075:I1075"/>
    <mergeCell ref="A1058:B1058"/>
    <mergeCell ref="H1058:I1058"/>
    <mergeCell ref="A1059:B1059"/>
    <mergeCell ref="H1059:I1059"/>
    <mergeCell ref="A1060:B1060"/>
    <mergeCell ref="H1060:I1060"/>
    <mergeCell ref="A1061:B1061"/>
    <mergeCell ref="H1061:I1061"/>
    <mergeCell ref="A1062:B1062"/>
    <mergeCell ref="H1062:I1062"/>
    <mergeCell ref="A1063:B1063"/>
    <mergeCell ref="H1063:I1063"/>
    <mergeCell ref="A1064:B1064"/>
    <mergeCell ref="H1064:I1064"/>
    <mergeCell ref="A1065:B1065"/>
    <mergeCell ref="H1065:I1065"/>
    <mergeCell ref="A1066:B1066"/>
    <mergeCell ref="H1066:I1066"/>
    <mergeCell ref="A1049:B1049"/>
    <mergeCell ref="H1049:I1049"/>
    <mergeCell ref="A1050:B1050"/>
    <mergeCell ref="H1050:I1050"/>
    <mergeCell ref="A1051:B1051"/>
    <mergeCell ref="H1051:I1051"/>
    <mergeCell ref="A1052:B1052"/>
    <mergeCell ref="H1052:I1052"/>
    <mergeCell ref="A1053:B1053"/>
    <mergeCell ref="H1053:I1053"/>
    <mergeCell ref="A1054:B1054"/>
    <mergeCell ref="H1054:I1054"/>
    <mergeCell ref="A1055:B1055"/>
    <mergeCell ref="H1055:I1055"/>
    <mergeCell ref="A1056:B1056"/>
    <mergeCell ref="H1056:I1056"/>
    <mergeCell ref="A1057:B1057"/>
    <mergeCell ref="H1057:I1057"/>
    <mergeCell ref="A1040:B1040"/>
    <mergeCell ref="H1040:I1040"/>
    <mergeCell ref="A1041:B1041"/>
    <mergeCell ref="H1041:I1041"/>
    <mergeCell ref="A1042:B1042"/>
    <mergeCell ref="H1042:I1042"/>
    <mergeCell ref="A1043:B1043"/>
    <mergeCell ref="H1043:I1043"/>
    <mergeCell ref="A1044:B1044"/>
    <mergeCell ref="H1044:I1044"/>
    <mergeCell ref="A1045:B1045"/>
    <mergeCell ref="H1045:I1045"/>
    <mergeCell ref="A1046:B1046"/>
    <mergeCell ref="H1046:I1046"/>
    <mergeCell ref="A1047:B1047"/>
    <mergeCell ref="H1047:I1047"/>
    <mergeCell ref="A1048:B1048"/>
    <mergeCell ref="H1048:I1048"/>
    <mergeCell ref="A1031:B1031"/>
    <mergeCell ref="H1031:I1031"/>
    <mergeCell ref="A1032:B1032"/>
    <mergeCell ref="H1032:I1032"/>
    <mergeCell ref="A1033:B1033"/>
    <mergeCell ref="H1033:I1033"/>
    <mergeCell ref="A1034:B1034"/>
    <mergeCell ref="H1034:I1034"/>
    <mergeCell ref="A1035:B1035"/>
    <mergeCell ref="H1035:I1035"/>
    <mergeCell ref="A1036:B1036"/>
    <mergeCell ref="H1036:I1036"/>
    <mergeCell ref="A1037:B1037"/>
    <mergeCell ref="H1037:I1037"/>
    <mergeCell ref="A1038:B1038"/>
    <mergeCell ref="H1038:I1038"/>
    <mergeCell ref="A1039:B1039"/>
    <mergeCell ref="H1039:I1039"/>
    <mergeCell ref="A1022:B1022"/>
    <mergeCell ref="H1022:I1022"/>
    <mergeCell ref="A1023:B1023"/>
    <mergeCell ref="H1023:I1023"/>
    <mergeCell ref="A1024:B1024"/>
    <mergeCell ref="H1024:I1024"/>
    <mergeCell ref="A1025:B1025"/>
    <mergeCell ref="H1025:I1025"/>
    <mergeCell ref="A1026:B1026"/>
    <mergeCell ref="H1026:I1026"/>
    <mergeCell ref="A1027:B1027"/>
    <mergeCell ref="H1027:I1027"/>
    <mergeCell ref="A1028:B1028"/>
    <mergeCell ref="H1028:I1028"/>
    <mergeCell ref="A1029:B1029"/>
    <mergeCell ref="H1029:I1029"/>
    <mergeCell ref="A1030:B1030"/>
    <mergeCell ref="H1030:I1030"/>
    <mergeCell ref="A1013:B1013"/>
    <mergeCell ref="H1013:I1013"/>
    <mergeCell ref="A1014:B1014"/>
    <mergeCell ref="H1014:I1014"/>
    <mergeCell ref="A1015:B1015"/>
    <mergeCell ref="H1015:I1015"/>
    <mergeCell ref="A1016:B1016"/>
    <mergeCell ref="H1016:I1016"/>
    <mergeCell ref="A1017:B1017"/>
    <mergeCell ref="H1017:I1017"/>
    <mergeCell ref="A1018:B1018"/>
    <mergeCell ref="H1018:I1018"/>
    <mergeCell ref="A1019:B1019"/>
    <mergeCell ref="H1019:I1019"/>
    <mergeCell ref="A1020:B1020"/>
    <mergeCell ref="H1020:I1020"/>
    <mergeCell ref="A1021:B1021"/>
    <mergeCell ref="H1021:I1021"/>
    <mergeCell ref="A1004:B1004"/>
    <mergeCell ref="H1004:I1004"/>
    <mergeCell ref="A1005:B1005"/>
    <mergeCell ref="H1005:I1005"/>
    <mergeCell ref="A1006:B1006"/>
    <mergeCell ref="H1006:I1006"/>
    <mergeCell ref="A1007:B1007"/>
    <mergeCell ref="H1007:I1007"/>
    <mergeCell ref="A1008:B1008"/>
    <mergeCell ref="H1008:I1008"/>
    <mergeCell ref="A1009:B1009"/>
    <mergeCell ref="H1009:I1009"/>
    <mergeCell ref="A1010:B1010"/>
    <mergeCell ref="H1010:I1010"/>
    <mergeCell ref="A1011:B1011"/>
    <mergeCell ref="H1011:I1011"/>
    <mergeCell ref="A1012:B1012"/>
    <mergeCell ref="H1012:I1012"/>
    <mergeCell ref="A995:B995"/>
    <mergeCell ref="H995:I995"/>
    <mergeCell ref="A996:B996"/>
    <mergeCell ref="H996:I996"/>
    <mergeCell ref="A997:B997"/>
    <mergeCell ref="H997:I997"/>
    <mergeCell ref="A998:B998"/>
    <mergeCell ref="H998:I998"/>
    <mergeCell ref="A999:B999"/>
    <mergeCell ref="H999:I999"/>
    <mergeCell ref="A1000:B1000"/>
    <mergeCell ref="H1000:I1000"/>
    <mergeCell ref="A1001:B1001"/>
    <mergeCell ref="H1001:I1001"/>
    <mergeCell ref="A1002:B1002"/>
    <mergeCell ref="H1002:I1002"/>
    <mergeCell ref="A1003:B1003"/>
    <mergeCell ref="H1003:I1003"/>
    <mergeCell ref="A986:B986"/>
    <mergeCell ref="H986:I986"/>
    <mergeCell ref="A987:B987"/>
    <mergeCell ref="H987:I987"/>
    <mergeCell ref="A988:B988"/>
    <mergeCell ref="H988:I988"/>
    <mergeCell ref="A989:B989"/>
    <mergeCell ref="H989:I989"/>
    <mergeCell ref="A990:B990"/>
    <mergeCell ref="H990:I990"/>
    <mergeCell ref="A991:B991"/>
    <mergeCell ref="H991:I991"/>
    <mergeCell ref="A992:B992"/>
    <mergeCell ref="H992:I992"/>
    <mergeCell ref="A993:B993"/>
    <mergeCell ref="H993:I993"/>
    <mergeCell ref="A994:B994"/>
    <mergeCell ref="H994:I994"/>
    <mergeCell ref="A977:B977"/>
    <mergeCell ref="H977:I977"/>
    <mergeCell ref="A978:B978"/>
    <mergeCell ref="H978:I978"/>
    <mergeCell ref="A979:B979"/>
    <mergeCell ref="H979:I979"/>
    <mergeCell ref="A980:B980"/>
    <mergeCell ref="H980:I980"/>
    <mergeCell ref="A981:B981"/>
    <mergeCell ref="H981:I981"/>
    <mergeCell ref="A982:B982"/>
    <mergeCell ref="H982:I982"/>
    <mergeCell ref="A983:B983"/>
    <mergeCell ref="H983:I983"/>
    <mergeCell ref="A984:B984"/>
    <mergeCell ref="H984:I984"/>
    <mergeCell ref="A985:B985"/>
    <mergeCell ref="H985:I985"/>
    <mergeCell ref="A968:B968"/>
    <mergeCell ref="H968:I968"/>
    <mergeCell ref="A969:B969"/>
    <mergeCell ref="H969:I969"/>
    <mergeCell ref="A970:B970"/>
    <mergeCell ref="H970:I970"/>
    <mergeCell ref="A971:B971"/>
    <mergeCell ref="H971:I971"/>
    <mergeCell ref="A972:B972"/>
    <mergeCell ref="H972:I972"/>
    <mergeCell ref="A973:B973"/>
    <mergeCell ref="A974:B974"/>
    <mergeCell ref="H974:I974"/>
    <mergeCell ref="A975:B975"/>
    <mergeCell ref="H975:I975"/>
    <mergeCell ref="A976:B976"/>
    <mergeCell ref="H976:I976"/>
    <mergeCell ref="A959:B959"/>
    <mergeCell ref="H959:I959"/>
    <mergeCell ref="A960:B960"/>
    <mergeCell ref="H960:I960"/>
    <mergeCell ref="A961:B961"/>
    <mergeCell ref="H961:I961"/>
    <mergeCell ref="A962:B962"/>
    <mergeCell ref="H962:I962"/>
    <mergeCell ref="A963:B963"/>
    <mergeCell ref="H963:I963"/>
    <mergeCell ref="A964:B964"/>
    <mergeCell ref="H964:I964"/>
    <mergeCell ref="A965:B965"/>
    <mergeCell ref="H965:I965"/>
    <mergeCell ref="A966:B966"/>
    <mergeCell ref="A967:B967"/>
    <mergeCell ref="H967:I967"/>
    <mergeCell ref="A950:B950"/>
    <mergeCell ref="H950:I950"/>
    <mergeCell ref="A951:B951"/>
    <mergeCell ref="H951:I951"/>
    <mergeCell ref="A952:B952"/>
    <mergeCell ref="H952:I952"/>
    <mergeCell ref="A953:B953"/>
    <mergeCell ref="H953:I953"/>
    <mergeCell ref="A954:B954"/>
    <mergeCell ref="H954:I954"/>
    <mergeCell ref="A955:B955"/>
    <mergeCell ref="H955:I955"/>
    <mergeCell ref="A956:B956"/>
    <mergeCell ref="H956:I956"/>
    <mergeCell ref="A957:B957"/>
    <mergeCell ref="H957:I957"/>
    <mergeCell ref="A958:B958"/>
    <mergeCell ref="H958:I958"/>
    <mergeCell ref="A941:B941"/>
    <mergeCell ref="H941:I941"/>
    <mergeCell ref="A942:B942"/>
    <mergeCell ref="H942:I942"/>
    <mergeCell ref="A943:B943"/>
    <mergeCell ref="H943:I943"/>
    <mergeCell ref="A944:B944"/>
    <mergeCell ref="H944:I944"/>
    <mergeCell ref="A945:B945"/>
    <mergeCell ref="H945:I945"/>
    <mergeCell ref="A946:B946"/>
    <mergeCell ref="H946:I946"/>
    <mergeCell ref="A947:B947"/>
    <mergeCell ref="H947:I947"/>
    <mergeCell ref="A948:B948"/>
    <mergeCell ref="H948:I948"/>
    <mergeCell ref="A949:B949"/>
    <mergeCell ref="H949:I949"/>
    <mergeCell ref="A932:B932"/>
    <mergeCell ref="H932:I932"/>
    <mergeCell ref="A933:B933"/>
    <mergeCell ref="H933:I933"/>
    <mergeCell ref="A934:B934"/>
    <mergeCell ref="H934:I934"/>
    <mergeCell ref="A935:B935"/>
    <mergeCell ref="H935:I935"/>
    <mergeCell ref="A936:B936"/>
    <mergeCell ref="H936:I936"/>
    <mergeCell ref="A937:B937"/>
    <mergeCell ref="H937:I937"/>
    <mergeCell ref="A938:B938"/>
    <mergeCell ref="H938:I938"/>
    <mergeCell ref="A939:B939"/>
    <mergeCell ref="H939:I939"/>
    <mergeCell ref="A940:B940"/>
    <mergeCell ref="H940:I940"/>
    <mergeCell ref="A923:B923"/>
    <mergeCell ref="H923:I923"/>
    <mergeCell ref="A924:B924"/>
    <mergeCell ref="H924:I924"/>
    <mergeCell ref="A925:B925"/>
    <mergeCell ref="H925:I925"/>
    <mergeCell ref="A926:B926"/>
    <mergeCell ref="H926:I926"/>
    <mergeCell ref="A927:B927"/>
    <mergeCell ref="H927:I927"/>
    <mergeCell ref="A928:B928"/>
    <mergeCell ref="H928:I928"/>
    <mergeCell ref="A929:B929"/>
    <mergeCell ref="H929:I929"/>
    <mergeCell ref="A930:B930"/>
    <mergeCell ref="H930:I930"/>
    <mergeCell ref="A931:B931"/>
    <mergeCell ref="H931:I931"/>
    <mergeCell ref="A914:B914"/>
    <mergeCell ref="H914:I914"/>
    <mergeCell ref="A915:B915"/>
    <mergeCell ref="H915:I915"/>
    <mergeCell ref="A916:B916"/>
    <mergeCell ref="H916:I916"/>
    <mergeCell ref="A917:B917"/>
    <mergeCell ref="H917:I917"/>
    <mergeCell ref="A918:B918"/>
    <mergeCell ref="H918:I918"/>
    <mergeCell ref="A919:B919"/>
    <mergeCell ref="H919:I919"/>
    <mergeCell ref="A920:B920"/>
    <mergeCell ref="H920:I920"/>
    <mergeCell ref="A921:B921"/>
    <mergeCell ref="H921:I921"/>
    <mergeCell ref="A922:B922"/>
    <mergeCell ref="H922:I922"/>
    <mergeCell ref="A905:B905"/>
    <mergeCell ref="H905:I905"/>
    <mergeCell ref="A906:B906"/>
    <mergeCell ref="H906:I906"/>
    <mergeCell ref="A907:B907"/>
    <mergeCell ref="H907:I907"/>
    <mergeCell ref="A908:B908"/>
    <mergeCell ref="H908:I908"/>
    <mergeCell ref="A909:B909"/>
    <mergeCell ref="H909:I909"/>
    <mergeCell ref="A910:B910"/>
    <mergeCell ref="H910:I910"/>
    <mergeCell ref="A911:B911"/>
    <mergeCell ref="H911:I911"/>
    <mergeCell ref="A912:B912"/>
    <mergeCell ref="H912:I912"/>
    <mergeCell ref="A913:B913"/>
    <mergeCell ref="H913:I913"/>
    <mergeCell ref="A896:B896"/>
    <mergeCell ref="H896:I896"/>
    <mergeCell ref="A897:B897"/>
    <mergeCell ref="H897:I897"/>
    <mergeCell ref="A898:B898"/>
    <mergeCell ref="H898:I898"/>
    <mergeCell ref="A899:B899"/>
    <mergeCell ref="H899:I899"/>
    <mergeCell ref="A900:B900"/>
    <mergeCell ref="H900:I900"/>
    <mergeCell ref="A901:B901"/>
    <mergeCell ref="H901:I901"/>
    <mergeCell ref="A902:B902"/>
    <mergeCell ref="H902:I902"/>
    <mergeCell ref="A903:B903"/>
    <mergeCell ref="H903:I903"/>
    <mergeCell ref="A904:B904"/>
    <mergeCell ref="H904:I904"/>
    <mergeCell ref="A887:B887"/>
    <mergeCell ref="H887:I887"/>
    <mergeCell ref="A888:B888"/>
    <mergeCell ref="H888:I888"/>
    <mergeCell ref="A889:B889"/>
    <mergeCell ref="H889:I889"/>
    <mergeCell ref="A890:B890"/>
    <mergeCell ref="H890:I890"/>
    <mergeCell ref="A891:B891"/>
    <mergeCell ref="H891:I891"/>
    <mergeCell ref="A892:B892"/>
    <mergeCell ref="H892:I892"/>
    <mergeCell ref="A893:B893"/>
    <mergeCell ref="H893:I893"/>
    <mergeCell ref="A894:B894"/>
    <mergeCell ref="H894:I894"/>
    <mergeCell ref="A895:B895"/>
    <mergeCell ref="H895:I895"/>
    <mergeCell ref="A878:B878"/>
    <mergeCell ref="H878:I878"/>
    <mergeCell ref="A879:B879"/>
    <mergeCell ref="H879:I879"/>
    <mergeCell ref="A880:B880"/>
    <mergeCell ref="H880:I880"/>
    <mergeCell ref="A881:B881"/>
    <mergeCell ref="H881:I881"/>
    <mergeCell ref="A882:B882"/>
    <mergeCell ref="A883:B883"/>
    <mergeCell ref="H883:I883"/>
    <mergeCell ref="A884:B884"/>
    <mergeCell ref="H884:I884"/>
    <mergeCell ref="A885:B885"/>
    <mergeCell ref="H885:I885"/>
    <mergeCell ref="A886:B886"/>
    <mergeCell ref="H886:I886"/>
    <mergeCell ref="A869:B869"/>
    <mergeCell ref="H869:I869"/>
    <mergeCell ref="A870:B870"/>
    <mergeCell ref="H870:I870"/>
    <mergeCell ref="A871:B871"/>
    <mergeCell ref="H871:I871"/>
    <mergeCell ref="A872:B872"/>
    <mergeCell ref="H872:I872"/>
    <mergeCell ref="A873:B873"/>
    <mergeCell ref="H873:I873"/>
    <mergeCell ref="A874:B874"/>
    <mergeCell ref="H874:I874"/>
    <mergeCell ref="A875:B875"/>
    <mergeCell ref="H875:I875"/>
    <mergeCell ref="A876:B876"/>
    <mergeCell ref="H876:I876"/>
    <mergeCell ref="A877:B877"/>
    <mergeCell ref="H877:I877"/>
    <mergeCell ref="A860:B860"/>
    <mergeCell ref="H860:I860"/>
    <mergeCell ref="A861:B861"/>
    <mergeCell ref="H861:I861"/>
    <mergeCell ref="A862:B862"/>
    <mergeCell ref="H862:I862"/>
    <mergeCell ref="A863:B863"/>
    <mergeCell ref="H863:I863"/>
    <mergeCell ref="A864:B864"/>
    <mergeCell ref="H864:I864"/>
    <mergeCell ref="A865:B865"/>
    <mergeCell ref="H865:I865"/>
    <mergeCell ref="A866:B866"/>
    <mergeCell ref="H866:I866"/>
    <mergeCell ref="A867:B867"/>
    <mergeCell ref="H867:I867"/>
    <mergeCell ref="A868:B868"/>
    <mergeCell ref="H868:I868"/>
    <mergeCell ref="A851:B851"/>
    <mergeCell ref="H851:I851"/>
    <mergeCell ref="A852:B852"/>
    <mergeCell ref="H852:I852"/>
    <mergeCell ref="A853:B853"/>
    <mergeCell ref="H853:I853"/>
    <mergeCell ref="A854:B854"/>
    <mergeCell ref="H854:I854"/>
    <mergeCell ref="A855:B855"/>
    <mergeCell ref="H855:I855"/>
    <mergeCell ref="A856:B856"/>
    <mergeCell ref="H856:I856"/>
    <mergeCell ref="A857:B857"/>
    <mergeCell ref="H857:I857"/>
    <mergeCell ref="A858:B858"/>
    <mergeCell ref="H858:I858"/>
    <mergeCell ref="A859:B859"/>
    <mergeCell ref="H859:I859"/>
    <mergeCell ref="A842:B842"/>
    <mergeCell ref="H842:I842"/>
    <mergeCell ref="A843:B843"/>
    <mergeCell ref="H843:I843"/>
    <mergeCell ref="A844:B844"/>
    <mergeCell ref="H844:I844"/>
    <mergeCell ref="A845:B845"/>
    <mergeCell ref="H845:I845"/>
    <mergeCell ref="A846:B846"/>
    <mergeCell ref="H846:I846"/>
    <mergeCell ref="A847:B847"/>
    <mergeCell ref="H847:I847"/>
    <mergeCell ref="A848:B848"/>
    <mergeCell ref="H848:I848"/>
    <mergeCell ref="A849:B849"/>
    <mergeCell ref="H849:I849"/>
    <mergeCell ref="A850:B850"/>
    <mergeCell ref="H850:I850"/>
    <mergeCell ref="A833:B833"/>
    <mergeCell ref="H833:I833"/>
    <mergeCell ref="A834:B834"/>
    <mergeCell ref="H834:I834"/>
    <mergeCell ref="A835:B835"/>
    <mergeCell ref="H835:I835"/>
    <mergeCell ref="A836:B836"/>
    <mergeCell ref="H836:I836"/>
    <mergeCell ref="A837:B837"/>
    <mergeCell ref="H837:I837"/>
    <mergeCell ref="A838:B838"/>
    <mergeCell ref="H838:I838"/>
    <mergeCell ref="A839:B839"/>
    <mergeCell ref="H839:I839"/>
    <mergeCell ref="A840:B840"/>
    <mergeCell ref="H840:I840"/>
    <mergeCell ref="A841:B841"/>
    <mergeCell ref="H841:I841"/>
    <mergeCell ref="A824:B824"/>
    <mergeCell ref="H824:I824"/>
    <mergeCell ref="A825:B825"/>
    <mergeCell ref="H825:I825"/>
    <mergeCell ref="A826:B826"/>
    <mergeCell ref="H826:I826"/>
    <mergeCell ref="A827:B827"/>
    <mergeCell ref="H827:I827"/>
    <mergeCell ref="A828:B828"/>
    <mergeCell ref="H828:I828"/>
    <mergeCell ref="A829:B829"/>
    <mergeCell ref="A830:B830"/>
    <mergeCell ref="H830:I830"/>
    <mergeCell ref="A831:B831"/>
    <mergeCell ref="H831:I831"/>
    <mergeCell ref="A832:B832"/>
    <mergeCell ref="H832:I832"/>
    <mergeCell ref="A815:B815"/>
    <mergeCell ref="H815:I815"/>
    <mergeCell ref="A816:B816"/>
    <mergeCell ref="H816:I816"/>
    <mergeCell ref="A817:B817"/>
    <mergeCell ref="H817:I817"/>
    <mergeCell ref="A818:B818"/>
    <mergeCell ref="H818:I818"/>
    <mergeCell ref="A819:B819"/>
    <mergeCell ref="H819:I819"/>
    <mergeCell ref="A820:B820"/>
    <mergeCell ref="H820:I820"/>
    <mergeCell ref="A821:B821"/>
    <mergeCell ref="H821:I821"/>
    <mergeCell ref="A822:B822"/>
    <mergeCell ref="H822:I822"/>
    <mergeCell ref="A823:B823"/>
    <mergeCell ref="H823:I823"/>
    <mergeCell ref="A806:B806"/>
    <mergeCell ref="H806:I806"/>
    <mergeCell ref="A807:B807"/>
    <mergeCell ref="H807:I807"/>
    <mergeCell ref="A808:B808"/>
    <mergeCell ref="H808:I808"/>
    <mergeCell ref="A809:B809"/>
    <mergeCell ref="H809:I809"/>
    <mergeCell ref="A810:B810"/>
    <mergeCell ref="H810:I810"/>
    <mergeCell ref="A811:B811"/>
    <mergeCell ref="H811:I811"/>
    <mergeCell ref="A812:B812"/>
    <mergeCell ref="H812:I812"/>
    <mergeCell ref="A813:B813"/>
    <mergeCell ref="A814:B814"/>
    <mergeCell ref="H814:I814"/>
    <mergeCell ref="A796:B796"/>
    <mergeCell ref="H796:I796"/>
    <mergeCell ref="A797:B797"/>
    <mergeCell ref="A798:B798"/>
    <mergeCell ref="A799:B799"/>
    <mergeCell ref="H799:I799"/>
    <mergeCell ref="A800:B800"/>
    <mergeCell ref="H800:I800"/>
    <mergeCell ref="A801:B801"/>
    <mergeCell ref="H801:I801"/>
    <mergeCell ref="A802:B802"/>
    <mergeCell ref="H802:I802"/>
    <mergeCell ref="A803:B803"/>
    <mergeCell ref="H803:I803"/>
    <mergeCell ref="A804:B804"/>
    <mergeCell ref="H804:I804"/>
    <mergeCell ref="A805:B805"/>
    <mergeCell ref="H805:I805"/>
    <mergeCell ref="A787:B787"/>
    <mergeCell ref="H787:I787"/>
    <mergeCell ref="A788:B788"/>
    <mergeCell ref="A789:B789"/>
    <mergeCell ref="H789:I789"/>
    <mergeCell ref="A790:B790"/>
    <mergeCell ref="H790:I790"/>
    <mergeCell ref="A791:B791"/>
    <mergeCell ref="H791:I791"/>
    <mergeCell ref="A792:B792"/>
    <mergeCell ref="H792:I792"/>
    <mergeCell ref="A793:B793"/>
    <mergeCell ref="H793:I793"/>
    <mergeCell ref="A794:B794"/>
    <mergeCell ref="H794:I794"/>
    <mergeCell ref="A795:B795"/>
    <mergeCell ref="H795:I795"/>
    <mergeCell ref="A778:B778"/>
    <mergeCell ref="A779:B779"/>
    <mergeCell ref="H779:I779"/>
    <mergeCell ref="A780:B780"/>
    <mergeCell ref="H780:I780"/>
    <mergeCell ref="A781:B781"/>
    <mergeCell ref="H781:I781"/>
    <mergeCell ref="A782:B782"/>
    <mergeCell ref="H782:I782"/>
    <mergeCell ref="A783:B783"/>
    <mergeCell ref="H783:I783"/>
    <mergeCell ref="A784:B784"/>
    <mergeCell ref="H784:I784"/>
    <mergeCell ref="A785:B785"/>
    <mergeCell ref="H785:I785"/>
    <mergeCell ref="A786:B786"/>
    <mergeCell ref="H786:I786"/>
    <mergeCell ref="A769:B769"/>
    <mergeCell ref="H769:I769"/>
    <mergeCell ref="A770:B770"/>
    <mergeCell ref="H770:I770"/>
    <mergeCell ref="A771:B771"/>
    <mergeCell ref="H771:I771"/>
    <mergeCell ref="A772:B772"/>
    <mergeCell ref="H772:I772"/>
    <mergeCell ref="A773:B773"/>
    <mergeCell ref="A774:B774"/>
    <mergeCell ref="H774:I774"/>
    <mergeCell ref="A775:B775"/>
    <mergeCell ref="H775:I775"/>
    <mergeCell ref="A776:B776"/>
    <mergeCell ref="H776:I776"/>
    <mergeCell ref="A777:B777"/>
    <mergeCell ref="H777:I777"/>
    <mergeCell ref="A760:B760"/>
    <mergeCell ref="H760:I760"/>
    <mergeCell ref="A761:B761"/>
    <mergeCell ref="H761:I761"/>
    <mergeCell ref="A762:B762"/>
    <mergeCell ref="H762:I762"/>
    <mergeCell ref="A763:B763"/>
    <mergeCell ref="H763:I763"/>
    <mergeCell ref="A764:B764"/>
    <mergeCell ref="H764:I764"/>
    <mergeCell ref="A765:B765"/>
    <mergeCell ref="H765:I765"/>
    <mergeCell ref="A766:B766"/>
    <mergeCell ref="H766:I766"/>
    <mergeCell ref="A767:B767"/>
    <mergeCell ref="A768:B768"/>
    <mergeCell ref="H768:I768"/>
    <mergeCell ref="A750:B750"/>
    <mergeCell ref="A751:B751"/>
    <mergeCell ref="H751:I751"/>
    <mergeCell ref="A752:B752"/>
    <mergeCell ref="H752:I752"/>
    <mergeCell ref="A753:B753"/>
    <mergeCell ref="H753:I753"/>
    <mergeCell ref="A754:B754"/>
    <mergeCell ref="A755:B755"/>
    <mergeCell ref="H755:I755"/>
    <mergeCell ref="A756:B756"/>
    <mergeCell ref="H756:I756"/>
    <mergeCell ref="A757:B757"/>
    <mergeCell ref="H757:I757"/>
    <mergeCell ref="A758:B758"/>
    <mergeCell ref="H758:I758"/>
    <mergeCell ref="A759:B759"/>
    <mergeCell ref="A740:B740"/>
    <mergeCell ref="H740:I740"/>
    <mergeCell ref="A741:B741"/>
    <mergeCell ref="A742:B742"/>
    <mergeCell ref="H742:I742"/>
    <mergeCell ref="A743:B743"/>
    <mergeCell ref="H743:I743"/>
    <mergeCell ref="A744:B744"/>
    <mergeCell ref="A745:B745"/>
    <mergeCell ref="H745:I745"/>
    <mergeCell ref="A746:B746"/>
    <mergeCell ref="H746:I746"/>
    <mergeCell ref="A747:B747"/>
    <mergeCell ref="H747:I747"/>
    <mergeCell ref="A748:B748"/>
    <mergeCell ref="H748:I748"/>
    <mergeCell ref="A749:B749"/>
    <mergeCell ref="H749:I749"/>
    <mergeCell ref="A731:B731"/>
    <mergeCell ref="H731:I731"/>
    <mergeCell ref="A732:B732"/>
    <mergeCell ref="H732:I732"/>
    <mergeCell ref="A733:B733"/>
    <mergeCell ref="H733:I733"/>
    <mergeCell ref="A734:B734"/>
    <mergeCell ref="A735:B735"/>
    <mergeCell ref="H735:I735"/>
    <mergeCell ref="A736:B736"/>
    <mergeCell ref="H736:I736"/>
    <mergeCell ref="A737:B737"/>
    <mergeCell ref="H737:I737"/>
    <mergeCell ref="A738:B738"/>
    <mergeCell ref="H738:I738"/>
    <mergeCell ref="A739:B739"/>
    <mergeCell ref="H739:I739"/>
    <mergeCell ref="A722:B722"/>
    <mergeCell ref="H722:I722"/>
    <mergeCell ref="A723:B723"/>
    <mergeCell ref="H723:I723"/>
    <mergeCell ref="A724:B724"/>
    <mergeCell ref="H724:I724"/>
    <mergeCell ref="A725:B725"/>
    <mergeCell ref="H725:I725"/>
    <mergeCell ref="A726:B726"/>
    <mergeCell ref="H726:I726"/>
    <mergeCell ref="A727:B727"/>
    <mergeCell ref="H727:I727"/>
    <mergeCell ref="A728:B728"/>
    <mergeCell ref="H728:I728"/>
    <mergeCell ref="A729:B729"/>
    <mergeCell ref="H729:I729"/>
    <mergeCell ref="A730:B730"/>
    <mergeCell ref="H730:I730"/>
    <mergeCell ref="A713:B713"/>
    <mergeCell ref="H713:I713"/>
    <mergeCell ref="A714:B714"/>
    <mergeCell ref="A715:B715"/>
    <mergeCell ref="H715:I715"/>
    <mergeCell ref="A716:B716"/>
    <mergeCell ref="H716:I716"/>
    <mergeCell ref="A717:B717"/>
    <mergeCell ref="H717:I717"/>
    <mergeCell ref="A718:B718"/>
    <mergeCell ref="H718:I718"/>
    <mergeCell ref="A719:B719"/>
    <mergeCell ref="H719:I719"/>
    <mergeCell ref="A720:B720"/>
    <mergeCell ref="H720:I720"/>
    <mergeCell ref="A721:B721"/>
    <mergeCell ref="H721:I721"/>
    <mergeCell ref="A704:B704"/>
    <mergeCell ref="H704:I704"/>
    <mergeCell ref="A705:B705"/>
    <mergeCell ref="H705:I705"/>
    <mergeCell ref="A706:B706"/>
    <mergeCell ref="H706:I706"/>
    <mergeCell ref="A707:B707"/>
    <mergeCell ref="H707:I707"/>
    <mergeCell ref="A708:B708"/>
    <mergeCell ref="H708:I708"/>
    <mergeCell ref="A709:B709"/>
    <mergeCell ref="H709:I709"/>
    <mergeCell ref="A710:B710"/>
    <mergeCell ref="H710:I710"/>
    <mergeCell ref="A711:B711"/>
    <mergeCell ref="H711:I711"/>
    <mergeCell ref="A712:B712"/>
    <mergeCell ref="H712:I712"/>
    <mergeCell ref="A694:B694"/>
    <mergeCell ref="H694:I694"/>
    <mergeCell ref="A695:B695"/>
    <mergeCell ref="H695:I695"/>
    <mergeCell ref="A696:B696"/>
    <mergeCell ref="H696:I696"/>
    <mergeCell ref="A697:B697"/>
    <mergeCell ref="H697:I697"/>
    <mergeCell ref="A698:B698"/>
    <mergeCell ref="A699:B699"/>
    <mergeCell ref="A700:B700"/>
    <mergeCell ref="H700:I700"/>
    <mergeCell ref="A701:B701"/>
    <mergeCell ref="H701:I701"/>
    <mergeCell ref="A702:B702"/>
    <mergeCell ref="H702:I702"/>
    <mergeCell ref="A703:B703"/>
    <mergeCell ref="H703:I703"/>
    <mergeCell ref="A685:B685"/>
    <mergeCell ref="H685:I685"/>
    <mergeCell ref="A686:B686"/>
    <mergeCell ref="H686:I686"/>
    <mergeCell ref="A687:B687"/>
    <mergeCell ref="H687:I687"/>
    <mergeCell ref="A688:B688"/>
    <mergeCell ref="A689:B689"/>
    <mergeCell ref="H689:I689"/>
    <mergeCell ref="A690:B690"/>
    <mergeCell ref="H690:I690"/>
    <mergeCell ref="A691:B691"/>
    <mergeCell ref="H691:I691"/>
    <mergeCell ref="A692:B692"/>
    <mergeCell ref="H692:I692"/>
    <mergeCell ref="A693:B693"/>
    <mergeCell ref="H693:I693"/>
    <mergeCell ref="A675:B675"/>
    <mergeCell ref="H675:I675"/>
    <mergeCell ref="A676:B676"/>
    <mergeCell ref="H676:I676"/>
    <mergeCell ref="A677:B677"/>
    <mergeCell ref="A678:B678"/>
    <mergeCell ref="H678:I678"/>
    <mergeCell ref="A679:B679"/>
    <mergeCell ref="H679:I679"/>
    <mergeCell ref="A680:B680"/>
    <mergeCell ref="H680:I680"/>
    <mergeCell ref="A681:B681"/>
    <mergeCell ref="A682:B682"/>
    <mergeCell ref="H682:I682"/>
    <mergeCell ref="A683:B683"/>
    <mergeCell ref="H683:I683"/>
    <mergeCell ref="A684:B684"/>
    <mergeCell ref="H684:I684"/>
    <mergeCell ref="A665:B665"/>
    <mergeCell ref="H665:I665"/>
    <mergeCell ref="A666:B666"/>
    <mergeCell ref="H666:I666"/>
    <mergeCell ref="A667:B667"/>
    <mergeCell ref="H667:I667"/>
    <mergeCell ref="A668:B668"/>
    <mergeCell ref="H668:I668"/>
    <mergeCell ref="A669:B669"/>
    <mergeCell ref="H669:I669"/>
    <mergeCell ref="A670:B670"/>
    <mergeCell ref="A671:B671"/>
    <mergeCell ref="A672:B672"/>
    <mergeCell ref="H672:I672"/>
    <mergeCell ref="A673:B673"/>
    <mergeCell ref="H673:I673"/>
    <mergeCell ref="A674:B674"/>
    <mergeCell ref="H674:I674"/>
    <mergeCell ref="A655:B655"/>
    <mergeCell ref="A656:B656"/>
    <mergeCell ref="H656:I656"/>
    <mergeCell ref="A657:B657"/>
    <mergeCell ref="H657:I657"/>
    <mergeCell ref="A658:B658"/>
    <mergeCell ref="H658:I658"/>
    <mergeCell ref="A659:B659"/>
    <mergeCell ref="H659:I659"/>
    <mergeCell ref="A660:B660"/>
    <mergeCell ref="H660:I660"/>
    <mergeCell ref="A661:B661"/>
    <mergeCell ref="H661:I661"/>
    <mergeCell ref="A662:B662"/>
    <mergeCell ref="A663:B663"/>
    <mergeCell ref="H663:I663"/>
    <mergeCell ref="A664:B664"/>
    <mergeCell ref="H664:I664"/>
    <mergeCell ref="A646:B646"/>
    <mergeCell ref="H646:I646"/>
    <mergeCell ref="A647:B647"/>
    <mergeCell ref="H647:I647"/>
    <mergeCell ref="A648:B648"/>
    <mergeCell ref="H648:I648"/>
    <mergeCell ref="A649:B649"/>
    <mergeCell ref="H649:I649"/>
    <mergeCell ref="A650:B650"/>
    <mergeCell ref="H650:I650"/>
    <mergeCell ref="A651:B651"/>
    <mergeCell ref="H651:I651"/>
    <mergeCell ref="A652:B652"/>
    <mergeCell ref="H652:I652"/>
    <mergeCell ref="A653:B653"/>
    <mergeCell ref="H653:I653"/>
    <mergeCell ref="A654:B654"/>
    <mergeCell ref="H654:I654"/>
    <mergeCell ref="A637:B637"/>
    <mergeCell ref="H637:I637"/>
    <mergeCell ref="A638:B638"/>
    <mergeCell ref="H638:I638"/>
    <mergeCell ref="A639:B639"/>
    <mergeCell ref="H639:I639"/>
    <mergeCell ref="A640:B640"/>
    <mergeCell ref="H640:I640"/>
    <mergeCell ref="A641:B641"/>
    <mergeCell ref="H641:I641"/>
    <mergeCell ref="A642:B642"/>
    <mergeCell ref="H642:I642"/>
    <mergeCell ref="A643:B643"/>
    <mergeCell ref="H643:I643"/>
    <mergeCell ref="A644:B644"/>
    <mergeCell ref="H644:I644"/>
    <mergeCell ref="A645:B645"/>
    <mergeCell ref="H645:I645"/>
    <mergeCell ref="A628:B628"/>
    <mergeCell ref="H628:I628"/>
    <mergeCell ref="A629:B629"/>
    <mergeCell ref="H629:I629"/>
    <mergeCell ref="A630:B630"/>
    <mergeCell ref="H630:I630"/>
    <mergeCell ref="A631:B631"/>
    <mergeCell ref="H631:I631"/>
    <mergeCell ref="A632:B632"/>
    <mergeCell ref="H632:I632"/>
    <mergeCell ref="A633:B633"/>
    <mergeCell ref="H633:I633"/>
    <mergeCell ref="A634:B634"/>
    <mergeCell ref="H634:I634"/>
    <mergeCell ref="A635:B635"/>
    <mergeCell ref="H635:I635"/>
    <mergeCell ref="A636:B636"/>
    <mergeCell ref="H636:I636"/>
    <mergeCell ref="A619:B619"/>
    <mergeCell ref="H619:I619"/>
    <mergeCell ref="A620:B620"/>
    <mergeCell ref="H620:I620"/>
    <mergeCell ref="A621:B621"/>
    <mergeCell ref="H621:I621"/>
    <mergeCell ref="A622:B622"/>
    <mergeCell ref="H622:I622"/>
    <mergeCell ref="A623:B623"/>
    <mergeCell ref="H623:I623"/>
    <mergeCell ref="A624:B624"/>
    <mergeCell ref="H624:I624"/>
    <mergeCell ref="A625:B625"/>
    <mergeCell ref="H625:I625"/>
    <mergeCell ref="A626:B626"/>
    <mergeCell ref="H626:I626"/>
    <mergeCell ref="A627:B627"/>
    <mergeCell ref="H627:I627"/>
    <mergeCell ref="A610:B610"/>
    <mergeCell ref="H610:I610"/>
    <mergeCell ref="A611:B611"/>
    <mergeCell ref="H611:I611"/>
    <mergeCell ref="A612:B612"/>
    <mergeCell ref="H612:I612"/>
    <mergeCell ref="A613:B613"/>
    <mergeCell ref="H613:I613"/>
    <mergeCell ref="A614:B614"/>
    <mergeCell ref="H614:I614"/>
    <mergeCell ref="A615:B615"/>
    <mergeCell ref="H615:I615"/>
    <mergeCell ref="A616:B616"/>
    <mergeCell ref="H616:I616"/>
    <mergeCell ref="A617:B617"/>
    <mergeCell ref="H617:I617"/>
    <mergeCell ref="A618:B618"/>
    <mergeCell ref="H618:I618"/>
    <mergeCell ref="A601:B601"/>
    <mergeCell ref="H601:I601"/>
    <mergeCell ref="A602:B602"/>
    <mergeCell ref="H602:I602"/>
    <mergeCell ref="A603:B603"/>
    <mergeCell ref="H603:I603"/>
    <mergeCell ref="A604:B604"/>
    <mergeCell ref="H604:I604"/>
    <mergeCell ref="A605:B605"/>
    <mergeCell ref="H605:I605"/>
    <mergeCell ref="A606:B606"/>
    <mergeCell ref="H606:I606"/>
    <mergeCell ref="A607:B607"/>
    <mergeCell ref="H607:I607"/>
    <mergeCell ref="A608:B608"/>
    <mergeCell ref="H608:I608"/>
    <mergeCell ref="A609:B609"/>
    <mergeCell ref="H609:I609"/>
    <mergeCell ref="A592:B592"/>
    <mergeCell ref="H592:I592"/>
    <mergeCell ref="A593:B593"/>
    <mergeCell ref="H593:I593"/>
    <mergeCell ref="A594:B594"/>
    <mergeCell ref="H594:I594"/>
    <mergeCell ref="A595:B595"/>
    <mergeCell ref="H595:I595"/>
    <mergeCell ref="A596:B596"/>
    <mergeCell ref="H596:I596"/>
    <mergeCell ref="A597:B597"/>
    <mergeCell ref="H597:I597"/>
    <mergeCell ref="A598:B598"/>
    <mergeCell ref="H598:I598"/>
    <mergeCell ref="A599:B599"/>
    <mergeCell ref="H599:I599"/>
    <mergeCell ref="A600:B600"/>
    <mergeCell ref="H600:I600"/>
    <mergeCell ref="A583:B583"/>
    <mergeCell ref="H583:I583"/>
    <mergeCell ref="A584:B584"/>
    <mergeCell ref="H584:I584"/>
    <mergeCell ref="A585:B585"/>
    <mergeCell ref="H585:I585"/>
    <mergeCell ref="A586:B586"/>
    <mergeCell ref="H586:I586"/>
    <mergeCell ref="A587:B587"/>
    <mergeCell ref="H587:I587"/>
    <mergeCell ref="A588:B588"/>
    <mergeCell ref="H588:I588"/>
    <mergeCell ref="A589:B589"/>
    <mergeCell ref="H589:I589"/>
    <mergeCell ref="A590:B590"/>
    <mergeCell ref="H590:I590"/>
    <mergeCell ref="A591:B591"/>
    <mergeCell ref="H591:I591"/>
    <mergeCell ref="A574:B574"/>
    <mergeCell ref="H574:I574"/>
    <mergeCell ref="A575:B575"/>
    <mergeCell ref="H575:I575"/>
    <mergeCell ref="A576:B576"/>
    <mergeCell ref="H576:I576"/>
    <mergeCell ref="A577:B577"/>
    <mergeCell ref="H577:I577"/>
    <mergeCell ref="A578:B578"/>
    <mergeCell ref="H578:I578"/>
    <mergeCell ref="A579:B579"/>
    <mergeCell ref="H579:I579"/>
    <mergeCell ref="A580:B580"/>
    <mergeCell ref="H580:I580"/>
    <mergeCell ref="A581:B581"/>
    <mergeCell ref="H581:I581"/>
    <mergeCell ref="A582:B582"/>
    <mergeCell ref="H582:I582"/>
    <mergeCell ref="A565:B565"/>
    <mergeCell ref="H565:I565"/>
    <mergeCell ref="A566:B566"/>
    <mergeCell ref="H566:I566"/>
    <mergeCell ref="A567:B567"/>
    <mergeCell ref="H567:I567"/>
    <mergeCell ref="A568:B568"/>
    <mergeCell ref="H568:I568"/>
    <mergeCell ref="A569:B569"/>
    <mergeCell ref="H569:I569"/>
    <mergeCell ref="A570:B570"/>
    <mergeCell ref="A571:B571"/>
    <mergeCell ref="H571:I571"/>
    <mergeCell ref="A572:B572"/>
    <mergeCell ref="H572:I572"/>
    <mergeCell ref="A573:B573"/>
    <mergeCell ref="H573:I573"/>
    <mergeCell ref="A556:B556"/>
    <mergeCell ref="H556:I556"/>
    <mergeCell ref="A557:B557"/>
    <mergeCell ref="H557:I557"/>
    <mergeCell ref="A558:B558"/>
    <mergeCell ref="H558:I558"/>
    <mergeCell ref="A559:B559"/>
    <mergeCell ref="H559:I559"/>
    <mergeCell ref="A560:B560"/>
    <mergeCell ref="H560:I560"/>
    <mergeCell ref="A561:B561"/>
    <mergeCell ref="H561:I561"/>
    <mergeCell ref="A562:B562"/>
    <mergeCell ref="H562:I562"/>
    <mergeCell ref="A563:B563"/>
    <mergeCell ref="H563:I563"/>
    <mergeCell ref="A564:B564"/>
    <mergeCell ref="H564:I564"/>
    <mergeCell ref="A547:B547"/>
    <mergeCell ref="H547:I547"/>
    <mergeCell ref="A548:B548"/>
    <mergeCell ref="H548:I548"/>
    <mergeCell ref="A549:B549"/>
    <mergeCell ref="H549:I549"/>
    <mergeCell ref="A550:B550"/>
    <mergeCell ref="H550:I550"/>
    <mergeCell ref="A551:B551"/>
    <mergeCell ref="H551:I551"/>
    <mergeCell ref="A552:B552"/>
    <mergeCell ref="H552:I552"/>
    <mergeCell ref="A553:B553"/>
    <mergeCell ref="H553:I553"/>
    <mergeCell ref="A554:B554"/>
    <mergeCell ref="H554:I554"/>
    <mergeCell ref="A555:B555"/>
    <mergeCell ref="H555:I555"/>
    <mergeCell ref="A538:B538"/>
    <mergeCell ref="H538:I538"/>
    <mergeCell ref="A539:B539"/>
    <mergeCell ref="H539:I539"/>
    <mergeCell ref="A540:B540"/>
    <mergeCell ref="H540:I540"/>
    <mergeCell ref="A541:B541"/>
    <mergeCell ref="H541:I541"/>
    <mergeCell ref="A542:B542"/>
    <mergeCell ref="H542:I542"/>
    <mergeCell ref="A543:B543"/>
    <mergeCell ref="H543:I543"/>
    <mergeCell ref="A544:B544"/>
    <mergeCell ref="H544:I544"/>
    <mergeCell ref="A545:B545"/>
    <mergeCell ref="H545:I545"/>
    <mergeCell ref="A546:B546"/>
    <mergeCell ref="H546:I546"/>
    <mergeCell ref="A529:B529"/>
    <mergeCell ref="H529:I529"/>
    <mergeCell ref="A530:B530"/>
    <mergeCell ref="H530:I530"/>
    <mergeCell ref="A531:B531"/>
    <mergeCell ref="H531:I531"/>
    <mergeCell ref="A532:B532"/>
    <mergeCell ref="H532:I532"/>
    <mergeCell ref="A533:B533"/>
    <mergeCell ref="H533:I533"/>
    <mergeCell ref="A534:B534"/>
    <mergeCell ref="H534:I534"/>
    <mergeCell ref="A535:B535"/>
    <mergeCell ref="H535:I535"/>
    <mergeCell ref="A536:B536"/>
    <mergeCell ref="H536:I536"/>
    <mergeCell ref="A537:B537"/>
    <mergeCell ref="H537:I537"/>
    <mergeCell ref="A520:B520"/>
    <mergeCell ref="H520:I520"/>
    <mergeCell ref="A521:B521"/>
    <mergeCell ref="H521:I521"/>
    <mergeCell ref="A522:B522"/>
    <mergeCell ref="H522:I522"/>
    <mergeCell ref="A523:B523"/>
    <mergeCell ref="H523:I523"/>
    <mergeCell ref="A524:B524"/>
    <mergeCell ref="H524:I524"/>
    <mergeCell ref="A525:B525"/>
    <mergeCell ref="H525:I525"/>
    <mergeCell ref="A526:B526"/>
    <mergeCell ref="H526:I526"/>
    <mergeCell ref="A527:B527"/>
    <mergeCell ref="H527:I527"/>
    <mergeCell ref="A528:B528"/>
    <mergeCell ref="H528:I528"/>
    <mergeCell ref="A511:B511"/>
    <mergeCell ref="H511:I511"/>
    <mergeCell ref="A512:B512"/>
    <mergeCell ref="H512:I512"/>
    <mergeCell ref="A513:B513"/>
    <mergeCell ref="H513:I513"/>
    <mergeCell ref="A514:B514"/>
    <mergeCell ref="H514:I514"/>
    <mergeCell ref="A515:B515"/>
    <mergeCell ref="H515:I515"/>
    <mergeCell ref="A516:B516"/>
    <mergeCell ref="H516:I516"/>
    <mergeCell ref="A517:B517"/>
    <mergeCell ref="H517:I517"/>
    <mergeCell ref="A518:B518"/>
    <mergeCell ref="H518:I518"/>
    <mergeCell ref="A519:B519"/>
    <mergeCell ref="H519:I519"/>
    <mergeCell ref="A502:B502"/>
    <mergeCell ref="H502:I502"/>
    <mergeCell ref="A503:B503"/>
    <mergeCell ref="H503:I503"/>
    <mergeCell ref="A504:B504"/>
    <mergeCell ref="H504:I504"/>
    <mergeCell ref="A505:B505"/>
    <mergeCell ref="H505:I505"/>
    <mergeCell ref="A506:B506"/>
    <mergeCell ref="H506:I506"/>
    <mergeCell ref="A507:B507"/>
    <mergeCell ref="H507:I507"/>
    <mergeCell ref="A508:B508"/>
    <mergeCell ref="H508:I508"/>
    <mergeCell ref="A509:B509"/>
    <mergeCell ref="H509:I509"/>
    <mergeCell ref="A510:B510"/>
    <mergeCell ref="H510:I510"/>
    <mergeCell ref="A493:B493"/>
    <mergeCell ref="H493:I493"/>
    <mergeCell ref="A494:B494"/>
    <mergeCell ref="H494:I494"/>
    <mergeCell ref="A495:B495"/>
    <mergeCell ref="H495:I495"/>
    <mergeCell ref="A496:B496"/>
    <mergeCell ref="H496:I496"/>
    <mergeCell ref="A497:B497"/>
    <mergeCell ref="H497:I497"/>
    <mergeCell ref="A498:B498"/>
    <mergeCell ref="H498:I498"/>
    <mergeCell ref="A499:B499"/>
    <mergeCell ref="A500:B500"/>
    <mergeCell ref="H500:I500"/>
    <mergeCell ref="A501:B501"/>
    <mergeCell ref="H501:I501"/>
    <mergeCell ref="A484:B484"/>
    <mergeCell ref="H484:I484"/>
    <mergeCell ref="A485:B485"/>
    <mergeCell ref="H485:I485"/>
    <mergeCell ref="A486:B486"/>
    <mergeCell ref="H486:I486"/>
    <mergeCell ref="A487:B487"/>
    <mergeCell ref="H487:I487"/>
    <mergeCell ref="A488:B488"/>
    <mergeCell ref="H488:I488"/>
    <mergeCell ref="A489:B489"/>
    <mergeCell ref="H489:I489"/>
    <mergeCell ref="A490:B490"/>
    <mergeCell ref="H490:I490"/>
    <mergeCell ref="A491:B491"/>
    <mergeCell ref="H491:I491"/>
    <mergeCell ref="A492:B492"/>
    <mergeCell ref="H492:I492"/>
    <mergeCell ref="A475:B475"/>
    <mergeCell ref="H475:I475"/>
    <mergeCell ref="A476:B476"/>
    <mergeCell ref="H476:I476"/>
    <mergeCell ref="A477:B477"/>
    <mergeCell ref="H477:I477"/>
    <mergeCell ref="A478:B478"/>
    <mergeCell ref="H478:I478"/>
    <mergeCell ref="A479:B479"/>
    <mergeCell ref="H479:I479"/>
    <mergeCell ref="A480:B480"/>
    <mergeCell ref="H480:I480"/>
    <mergeCell ref="A481:B481"/>
    <mergeCell ref="A482:B482"/>
    <mergeCell ref="H482:I482"/>
    <mergeCell ref="A483:B483"/>
    <mergeCell ref="H483:I483"/>
    <mergeCell ref="A466:B466"/>
    <mergeCell ref="H466:I466"/>
    <mergeCell ref="A467:B467"/>
    <mergeCell ref="H467:I467"/>
    <mergeCell ref="A468:B468"/>
    <mergeCell ref="H468:I468"/>
    <mergeCell ref="A469:B469"/>
    <mergeCell ref="H469:I469"/>
    <mergeCell ref="A470:B470"/>
    <mergeCell ref="H470:I470"/>
    <mergeCell ref="A471:B471"/>
    <mergeCell ref="H471:I471"/>
    <mergeCell ref="A472:B472"/>
    <mergeCell ref="H472:I472"/>
    <mergeCell ref="A473:B473"/>
    <mergeCell ref="H473:I473"/>
    <mergeCell ref="A474:B474"/>
    <mergeCell ref="H474:I474"/>
    <mergeCell ref="A456:B456"/>
    <mergeCell ref="H456:I456"/>
    <mergeCell ref="A457:B457"/>
    <mergeCell ref="H457:I457"/>
    <mergeCell ref="A458:B458"/>
    <mergeCell ref="A459:B459"/>
    <mergeCell ref="H459:I459"/>
    <mergeCell ref="A460:B460"/>
    <mergeCell ref="H460:I460"/>
    <mergeCell ref="A461:B461"/>
    <mergeCell ref="H461:I461"/>
    <mergeCell ref="A462:B462"/>
    <mergeCell ref="H462:I462"/>
    <mergeCell ref="A463:B463"/>
    <mergeCell ref="H463:I463"/>
    <mergeCell ref="A464:B464"/>
    <mergeCell ref="A465:B465"/>
    <mergeCell ref="H465:I465"/>
    <mergeCell ref="A446:B446"/>
    <mergeCell ref="H446:I446"/>
    <mergeCell ref="A447:B447"/>
    <mergeCell ref="H447:I447"/>
    <mergeCell ref="A448:B448"/>
    <mergeCell ref="H448:I448"/>
    <mergeCell ref="A449:B449"/>
    <mergeCell ref="H449:I449"/>
    <mergeCell ref="A450:B450"/>
    <mergeCell ref="A451:B451"/>
    <mergeCell ref="H451:I451"/>
    <mergeCell ref="A452:B452"/>
    <mergeCell ref="H452:I452"/>
    <mergeCell ref="A453:B453"/>
    <mergeCell ref="H453:I453"/>
    <mergeCell ref="A454:B454"/>
    <mergeCell ref="A455:B455"/>
    <mergeCell ref="H455:I455"/>
    <mergeCell ref="A437:B437"/>
    <mergeCell ref="H437:I437"/>
    <mergeCell ref="A438:B438"/>
    <mergeCell ref="H438:I438"/>
    <mergeCell ref="A439:B439"/>
    <mergeCell ref="H439:I439"/>
    <mergeCell ref="A440:B440"/>
    <mergeCell ref="H440:I440"/>
    <mergeCell ref="A441:B441"/>
    <mergeCell ref="H441:I441"/>
    <mergeCell ref="A442:B442"/>
    <mergeCell ref="H442:I442"/>
    <mergeCell ref="A443:B443"/>
    <mergeCell ref="H443:I443"/>
    <mergeCell ref="A444:B444"/>
    <mergeCell ref="H444:I444"/>
    <mergeCell ref="A445:B445"/>
    <mergeCell ref="H445:I445"/>
    <mergeCell ref="A428:B428"/>
    <mergeCell ref="H428:I428"/>
    <mergeCell ref="A429:B429"/>
    <mergeCell ref="H429:I429"/>
    <mergeCell ref="A430:B430"/>
    <mergeCell ref="A431:B431"/>
    <mergeCell ref="H431:I431"/>
    <mergeCell ref="A432:B432"/>
    <mergeCell ref="H432:I432"/>
    <mergeCell ref="A433:B433"/>
    <mergeCell ref="H433:I433"/>
    <mergeCell ref="A434:B434"/>
    <mergeCell ref="H434:I434"/>
    <mergeCell ref="A435:B435"/>
    <mergeCell ref="H435:I435"/>
    <mergeCell ref="A436:B436"/>
    <mergeCell ref="H436:I436"/>
    <mergeCell ref="A419:B419"/>
    <mergeCell ref="H419:I419"/>
    <mergeCell ref="A420:B420"/>
    <mergeCell ref="H420:I420"/>
    <mergeCell ref="A421:B421"/>
    <mergeCell ref="H421:I421"/>
    <mergeCell ref="A422:B422"/>
    <mergeCell ref="H422:I422"/>
    <mergeCell ref="A423:B423"/>
    <mergeCell ref="H423:I423"/>
    <mergeCell ref="A424:B424"/>
    <mergeCell ref="H424:I424"/>
    <mergeCell ref="A425:B425"/>
    <mergeCell ref="H425:I425"/>
    <mergeCell ref="A426:B426"/>
    <mergeCell ref="H426:I426"/>
    <mergeCell ref="A427:B427"/>
    <mergeCell ref="H427:I427"/>
    <mergeCell ref="A410:B410"/>
    <mergeCell ref="H410:I410"/>
    <mergeCell ref="A411:B411"/>
    <mergeCell ref="H411:I411"/>
    <mergeCell ref="A412:B412"/>
    <mergeCell ref="H412:I412"/>
    <mergeCell ref="A413:B413"/>
    <mergeCell ref="H413:I413"/>
    <mergeCell ref="A414:B414"/>
    <mergeCell ref="H414:I414"/>
    <mergeCell ref="A415:B415"/>
    <mergeCell ref="H415:I415"/>
    <mergeCell ref="A416:B416"/>
    <mergeCell ref="H416:I416"/>
    <mergeCell ref="A417:B417"/>
    <mergeCell ref="H417:I417"/>
    <mergeCell ref="A418:B418"/>
    <mergeCell ref="H418:I418"/>
    <mergeCell ref="A401:B401"/>
    <mergeCell ref="H401:I401"/>
    <mergeCell ref="A402:B402"/>
    <mergeCell ref="H402:I402"/>
    <mergeCell ref="A403:B403"/>
    <mergeCell ref="H403:I403"/>
    <mergeCell ref="A404:B404"/>
    <mergeCell ref="H404:I404"/>
    <mergeCell ref="A405:B405"/>
    <mergeCell ref="H405:I405"/>
    <mergeCell ref="A406:B406"/>
    <mergeCell ref="H406:I406"/>
    <mergeCell ref="A407:B407"/>
    <mergeCell ref="H407:I407"/>
    <mergeCell ref="A408:B408"/>
    <mergeCell ref="H408:I408"/>
    <mergeCell ref="A409:B409"/>
    <mergeCell ref="H409:I409"/>
    <mergeCell ref="A392:B392"/>
    <mergeCell ref="A393:B393"/>
    <mergeCell ref="H393:I393"/>
    <mergeCell ref="A394:B394"/>
    <mergeCell ref="H394:I394"/>
    <mergeCell ref="A395:B395"/>
    <mergeCell ref="H395:I395"/>
    <mergeCell ref="A396:B396"/>
    <mergeCell ref="H396:I396"/>
    <mergeCell ref="A397:B397"/>
    <mergeCell ref="H397:I397"/>
    <mergeCell ref="A398:B398"/>
    <mergeCell ref="H398:I398"/>
    <mergeCell ref="A399:B399"/>
    <mergeCell ref="H399:I399"/>
    <mergeCell ref="A400:B400"/>
    <mergeCell ref="H400:I400"/>
    <mergeCell ref="A383:B383"/>
    <mergeCell ref="H383:I383"/>
    <mergeCell ref="A384:B384"/>
    <mergeCell ref="H384:I384"/>
    <mergeCell ref="A385:B385"/>
    <mergeCell ref="H385:I385"/>
    <mergeCell ref="A386:B386"/>
    <mergeCell ref="H386:I386"/>
    <mergeCell ref="A387:B387"/>
    <mergeCell ref="H387:I387"/>
    <mergeCell ref="A388:B388"/>
    <mergeCell ref="H388:I388"/>
    <mergeCell ref="A389:B389"/>
    <mergeCell ref="H389:I389"/>
    <mergeCell ref="A390:B390"/>
    <mergeCell ref="H390:I390"/>
    <mergeCell ref="A391:B391"/>
    <mergeCell ref="H391:I391"/>
    <mergeCell ref="A374:B374"/>
    <mergeCell ref="H374:I374"/>
    <mergeCell ref="A375:B375"/>
    <mergeCell ref="H375:I375"/>
    <mergeCell ref="A376:B376"/>
    <mergeCell ref="H376:I376"/>
    <mergeCell ref="A377:B377"/>
    <mergeCell ref="H377:I377"/>
    <mergeCell ref="A378:B378"/>
    <mergeCell ref="H378:I378"/>
    <mergeCell ref="A379:B379"/>
    <mergeCell ref="H379:I379"/>
    <mergeCell ref="A380:B380"/>
    <mergeCell ref="H380:I380"/>
    <mergeCell ref="A381:B381"/>
    <mergeCell ref="H381:I381"/>
    <mergeCell ref="A382:B382"/>
    <mergeCell ref="H382:I382"/>
    <mergeCell ref="A365:B365"/>
    <mergeCell ref="H365:I365"/>
    <mergeCell ref="A366:B366"/>
    <mergeCell ref="H366:I366"/>
    <mergeCell ref="A367:B367"/>
    <mergeCell ref="H367:I367"/>
    <mergeCell ref="A368:B368"/>
    <mergeCell ref="H368:I368"/>
    <mergeCell ref="A369:B369"/>
    <mergeCell ref="H369:I369"/>
    <mergeCell ref="A370:B370"/>
    <mergeCell ref="H370:I370"/>
    <mergeCell ref="A371:B371"/>
    <mergeCell ref="H371:I371"/>
    <mergeCell ref="A372:B372"/>
    <mergeCell ref="H372:I372"/>
    <mergeCell ref="A373:B373"/>
    <mergeCell ref="H373:I373"/>
    <mergeCell ref="A356:B356"/>
    <mergeCell ref="H356:I356"/>
    <mergeCell ref="A357:B357"/>
    <mergeCell ref="H357:I357"/>
    <mergeCell ref="A358:B358"/>
    <mergeCell ref="H358:I358"/>
    <mergeCell ref="A359:B359"/>
    <mergeCell ref="H359:I359"/>
    <mergeCell ref="A360:B360"/>
    <mergeCell ref="H360:I360"/>
    <mergeCell ref="A361:B361"/>
    <mergeCell ref="H361:I361"/>
    <mergeCell ref="A362:B362"/>
    <mergeCell ref="H362:I362"/>
    <mergeCell ref="A363:B363"/>
    <mergeCell ref="H363:I363"/>
    <mergeCell ref="A364:B364"/>
    <mergeCell ref="H364:I364"/>
    <mergeCell ref="A347:B347"/>
    <mergeCell ref="H347:I347"/>
    <mergeCell ref="A348:B348"/>
    <mergeCell ref="H348:I348"/>
    <mergeCell ref="A349:B349"/>
    <mergeCell ref="H349:I349"/>
    <mergeCell ref="A350:B350"/>
    <mergeCell ref="H350:I350"/>
    <mergeCell ref="A351:B351"/>
    <mergeCell ref="H351:I351"/>
    <mergeCell ref="A352:B352"/>
    <mergeCell ref="H352:I352"/>
    <mergeCell ref="A353:B353"/>
    <mergeCell ref="H353:I353"/>
    <mergeCell ref="A354:B354"/>
    <mergeCell ref="H354:I354"/>
    <mergeCell ref="A355:B355"/>
    <mergeCell ref="H355:I355"/>
    <mergeCell ref="A338:B338"/>
    <mergeCell ref="A339:B339"/>
    <mergeCell ref="H339:I339"/>
    <mergeCell ref="A340:B340"/>
    <mergeCell ref="H340:I340"/>
    <mergeCell ref="A341:B341"/>
    <mergeCell ref="H341:I341"/>
    <mergeCell ref="A342:B342"/>
    <mergeCell ref="H342:I342"/>
    <mergeCell ref="A343:B343"/>
    <mergeCell ref="H343:I343"/>
    <mergeCell ref="A344:B344"/>
    <mergeCell ref="H344:I344"/>
    <mergeCell ref="A345:B345"/>
    <mergeCell ref="H345:I345"/>
    <mergeCell ref="A346:B346"/>
    <mergeCell ref="H346:I346"/>
    <mergeCell ref="A329:B329"/>
    <mergeCell ref="H329:I329"/>
    <mergeCell ref="A330:B330"/>
    <mergeCell ref="H330:I330"/>
    <mergeCell ref="A331:B331"/>
    <mergeCell ref="H331:I331"/>
    <mergeCell ref="A332:B332"/>
    <mergeCell ref="H332:I332"/>
    <mergeCell ref="A333:B333"/>
    <mergeCell ref="H333:I333"/>
    <mergeCell ref="A334:B334"/>
    <mergeCell ref="H334:I334"/>
    <mergeCell ref="A335:B335"/>
    <mergeCell ref="H335:I335"/>
    <mergeCell ref="A336:B336"/>
    <mergeCell ref="H336:I336"/>
    <mergeCell ref="A337:B337"/>
    <mergeCell ref="H337:I337"/>
    <mergeCell ref="A320:B320"/>
    <mergeCell ref="H320:I320"/>
    <mergeCell ref="A321:B321"/>
    <mergeCell ref="H321:I321"/>
    <mergeCell ref="A322:B322"/>
    <mergeCell ref="H322:I322"/>
    <mergeCell ref="A323:B323"/>
    <mergeCell ref="H323:I323"/>
    <mergeCell ref="A324:B324"/>
    <mergeCell ref="H324:I324"/>
    <mergeCell ref="A325:B325"/>
    <mergeCell ref="H325:I325"/>
    <mergeCell ref="A326:B326"/>
    <mergeCell ref="H326:I326"/>
    <mergeCell ref="A327:B327"/>
    <mergeCell ref="H327:I327"/>
    <mergeCell ref="A328:B328"/>
    <mergeCell ref="H328:I328"/>
    <mergeCell ref="A311:B311"/>
    <mergeCell ref="H311:I311"/>
    <mergeCell ref="A312:B312"/>
    <mergeCell ref="H312:I312"/>
    <mergeCell ref="A313:B313"/>
    <mergeCell ref="H313:I313"/>
    <mergeCell ref="A314:B314"/>
    <mergeCell ref="H314:I314"/>
    <mergeCell ref="A315:B315"/>
    <mergeCell ref="H315:I315"/>
    <mergeCell ref="A316:B316"/>
    <mergeCell ref="H316:I316"/>
    <mergeCell ref="A317:B317"/>
    <mergeCell ref="H317:I317"/>
    <mergeCell ref="A318:B318"/>
    <mergeCell ref="H318:I318"/>
    <mergeCell ref="A319:B319"/>
    <mergeCell ref="H319:I319"/>
    <mergeCell ref="A302:B302"/>
    <mergeCell ref="H302:I302"/>
    <mergeCell ref="A303:B303"/>
    <mergeCell ref="H303:I303"/>
    <mergeCell ref="A304:B304"/>
    <mergeCell ref="H304:I304"/>
    <mergeCell ref="A305:B305"/>
    <mergeCell ref="H305:I305"/>
    <mergeCell ref="A306:B306"/>
    <mergeCell ref="H306:I306"/>
    <mergeCell ref="A307:B307"/>
    <mergeCell ref="H307:I307"/>
    <mergeCell ref="A308:B308"/>
    <mergeCell ref="H308:I308"/>
    <mergeCell ref="A309:B309"/>
    <mergeCell ref="H309:I309"/>
    <mergeCell ref="A310:B310"/>
    <mergeCell ref="H310:I310"/>
    <mergeCell ref="A293:B293"/>
    <mergeCell ref="H293:I293"/>
    <mergeCell ref="A294:B294"/>
    <mergeCell ref="H294:I294"/>
    <mergeCell ref="A295:B295"/>
    <mergeCell ref="H295:I295"/>
    <mergeCell ref="A296:B296"/>
    <mergeCell ref="H296:I296"/>
    <mergeCell ref="A297:B297"/>
    <mergeCell ref="H297:I297"/>
    <mergeCell ref="A298:B298"/>
    <mergeCell ref="H298:I298"/>
    <mergeCell ref="A299:B299"/>
    <mergeCell ref="H299:I299"/>
    <mergeCell ref="A300:B300"/>
    <mergeCell ref="H300:I300"/>
    <mergeCell ref="A301:B301"/>
    <mergeCell ref="H301:I301"/>
    <mergeCell ref="A284:B284"/>
    <mergeCell ref="H284:I284"/>
    <mergeCell ref="A285:B285"/>
    <mergeCell ref="H285:I285"/>
    <mergeCell ref="A286:B286"/>
    <mergeCell ref="H286:I286"/>
    <mergeCell ref="A287:B287"/>
    <mergeCell ref="H287:I287"/>
    <mergeCell ref="A288:B288"/>
    <mergeCell ref="H288:I288"/>
    <mergeCell ref="A289:B289"/>
    <mergeCell ref="H289:I289"/>
    <mergeCell ref="A290:B290"/>
    <mergeCell ref="H290:I290"/>
    <mergeCell ref="A291:B291"/>
    <mergeCell ref="H291:I291"/>
    <mergeCell ref="A292:B292"/>
    <mergeCell ref="H292:I292"/>
    <mergeCell ref="A275:B275"/>
    <mergeCell ref="H275:I275"/>
    <mergeCell ref="A276:B276"/>
    <mergeCell ref="H276:I276"/>
    <mergeCell ref="A277:B277"/>
    <mergeCell ref="H277:I277"/>
    <mergeCell ref="A278:B278"/>
    <mergeCell ref="H278:I278"/>
    <mergeCell ref="A279:B279"/>
    <mergeCell ref="H279:I279"/>
    <mergeCell ref="A280:B280"/>
    <mergeCell ref="H280:I280"/>
    <mergeCell ref="A281:B281"/>
    <mergeCell ref="H281:I281"/>
    <mergeCell ref="A282:B282"/>
    <mergeCell ref="H282:I282"/>
    <mergeCell ref="A283:B283"/>
    <mergeCell ref="H283:I283"/>
    <mergeCell ref="A266:B266"/>
    <mergeCell ref="H266:I266"/>
    <mergeCell ref="A267:B267"/>
    <mergeCell ref="H267:I267"/>
    <mergeCell ref="A268:B268"/>
    <mergeCell ref="H268:I268"/>
    <mergeCell ref="A269:B269"/>
    <mergeCell ref="H269:I269"/>
    <mergeCell ref="A270:B270"/>
    <mergeCell ref="H270:I270"/>
    <mergeCell ref="A271:B271"/>
    <mergeCell ref="H271:I271"/>
    <mergeCell ref="A272:B272"/>
    <mergeCell ref="H272:I272"/>
    <mergeCell ref="A273:B273"/>
    <mergeCell ref="H273:I273"/>
    <mergeCell ref="A274:B274"/>
    <mergeCell ref="H274:I274"/>
    <mergeCell ref="A257:B257"/>
    <mergeCell ref="H257:I257"/>
    <mergeCell ref="A258:B258"/>
    <mergeCell ref="H258:I258"/>
    <mergeCell ref="A259:B259"/>
    <mergeCell ref="H259:I259"/>
    <mergeCell ref="A260:B260"/>
    <mergeCell ref="H260:I260"/>
    <mergeCell ref="A261:B261"/>
    <mergeCell ref="H261:I261"/>
    <mergeCell ref="A262:B262"/>
    <mergeCell ref="H262:I262"/>
    <mergeCell ref="A263:B263"/>
    <mergeCell ref="H263:I263"/>
    <mergeCell ref="A264:B264"/>
    <mergeCell ref="A265:B265"/>
    <mergeCell ref="H265:I265"/>
    <mergeCell ref="A248:B248"/>
    <mergeCell ref="H248:I248"/>
    <mergeCell ref="A249:B249"/>
    <mergeCell ref="H249:I249"/>
    <mergeCell ref="A250:B250"/>
    <mergeCell ref="H250:I250"/>
    <mergeCell ref="A251:B251"/>
    <mergeCell ref="H251:I251"/>
    <mergeCell ref="A252:B252"/>
    <mergeCell ref="H252:I252"/>
    <mergeCell ref="A253:B253"/>
    <mergeCell ref="H253:I253"/>
    <mergeCell ref="A254:B254"/>
    <mergeCell ref="H254:I254"/>
    <mergeCell ref="A255:B255"/>
    <mergeCell ref="H255:I255"/>
    <mergeCell ref="A256:B256"/>
    <mergeCell ref="H256:I256"/>
    <mergeCell ref="A239:B239"/>
    <mergeCell ref="H239:I239"/>
    <mergeCell ref="A240:B240"/>
    <mergeCell ref="H240:I240"/>
    <mergeCell ref="A241:B241"/>
    <mergeCell ref="H241:I241"/>
    <mergeCell ref="A242:B242"/>
    <mergeCell ref="H242:I242"/>
    <mergeCell ref="A243:B243"/>
    <mergeCell ref="H243:I243"/>
    <mergeCell ref="A244:B244"/>
    <mergeCell ref="H244:I244"/>
    <mergeCell ref="A245:B245"/>
    <mergeCell ref="H245:I245"/>
    <mergeCell ref="A246:B246"/>
    <mergeCell ref="H246:I246"/>
    <mergeCell ref="A247:B247"/>
    <mergeCell ref="H247:I247"/>
    <mergeCell ref="A230:B230"/>
    <mergeCell ref="H230:I230"/>
    <mergeCell ref="A231:B231"/>
    <mergeCell ref="H231:I231"/>
    <mergeCell ref="A232:B232"/>
    <mergeCell ref="H232:I232"/>
    <mergeCell ref="A233:B233"/>
    <mergeCell ref="H233:I233"/>
    <mergeCell ref="A234:B234"/>
    <mergeCell ref="H234:I234"/>
    <mergeCell ref="A235:B235"/>
    <mergeCell ref="H235:I235"/>
    <mergeCell ref="A236:B236"/>
    <mergeCell ref="H236:I236"/>
    <mergeCell ref="A237:B237"/>
    <mergeCell ref="H237:I237"/>
    <mergeCell ref="A238:B238"/>
    <mergeCell ref="H238:I238"/>
    <mergeCell ref="A221:B221"/>
    <mergeCell ref="H221:I221"/>
    <mergeCell ref="A222:B222"/>
    <mergeCell ref="H222:I222"/>
    <mergeCell ref="A223:B223"/>
    <mergeCell ref="H223:I223"/>
    <mergeCell ref="A224:B224"/>
    <mergeCell ref="H224:I224"/>
    <mergeCell ref="A225:B225"/>
    <mergeCell ref="H225:I225"/>
    <mergeCell ref="A226:B226"/>
    <mergeCell ref="H226:I226"/>
    <mergeCell ref="A227:B227"/>
    <mergeCell ref="H227:I227"/>
    <mergeCell ref="A228:B228"/>
    <mergeCell ref="H228:I228"/>
    <mergeCell ref="A229:B229"/>
    <mergeCell ref="H229:I229"/>
    <mergeCell ref="A212:B212"/>
    <mergeCell ref="H212:I212"/>
    <mergeCell ref="A213:B213"/>
    <mergeCell ref="H213:I213"/>
    <mergeCell ref="A214:B214"/>
    <mergeCell ref="H214:I214"/>
    <mergeCell ref="A215:B215"/>
    <mergeCell ref="H215:I215"/>
    <mergeCell ref="A216:B216"/>
    <mergeCell ref="H216:I216"/>
    <mergeCell ref="A217:B217"/>
    <mergeCell ref="H217:I217"/>
    <mergeCell ref="A218:B218"/>
    <mergeCell ref="H218:I218"/>
    <mergeCell ref="A219:B219"/>
    <mergeCell ref="H219:I219"/>
    <mergeCell ref="A220:B220"/>
    <mergeCell ref="H220:I220"/>
    <mergeCell ref="A203:B203"/>
    <mergeCell ref="H203:I203"/>
    <mergeCell ref="A204:B204"/>
    <mergeCell ref="H204:I204"/>
    <mergeCell ref="A205:B205"/>
    <mergeCell ref="H205:I205"/>
    <mergeCell ref="A206:B206"/>
    <mergeCell ref="H206:I206"/>
    <mergeCell ref="A207:B207"/>
    <mergeCell ref="H207:I207"/>
    <mergeCell ref="A208:B208"/>
    <mergeCell ref="H208:I208"/>
    <mergeCell ref="A209:B209"/>
    <mergeCell ref="H209:I209"/>
    <mergeCell ref="A210:B210"/>
    <mergeCell ref="H210:I210"/>
    <mergeCell ref="A211:B211"/>
    <mergeCell ref="H211:I211"/>
    <mergeCell ref="A194:B194"/>
    <mergeCell ref="H194:I194"/>
    <mergeCell ref="A195:B195"/>
    <mergeCell ref="H195:I195"/>
    <mergeCell ref="A196:B196"/>
    <mergeCell ref="H196:I196"/>
    <mergeCell ref="A197:B197"/>
    <mergeCell ref="H197:I197"/>
    <mergeCell ref="A198:B198"/>
    <mergeCell ref="H198:I198"/>
    <mergeCell ref="A199:B199"/>
    <mergeCell ref="H199:I199"/>
    <mergeCell ref="A200:B200"/>
    <mergeCell ref="H200:I200"/>
    <mergeCell ref="A201:B201"/>
    <mergeCell ref="H201:I201"/>
    <mergeCell ref="A202:B202"/>
    <mergeCell ref="H202:I202"/>
    <mergeCell ref="A185:B185"/>
    <mergeCell ref="H185:I185"/>
    <mergeCell ref="A186:B186"/>
    <mergeCell ref="H186:I186"/>
    <mergeCell ref="A187:B187"/>
    <mergeCell ref="H187:I187"/>
    <mergeCell ref="A188:B188"/>
    <mergeCell ref="H188:I188"/>
    <mergeCell ref="A189:B189"/>
    <mergeCell ref="H189:I189"/>
    <mergeCell ref="A190:B190"/>
    <mergeCell ref="H190:I190"/>
    <mergeCell ref="A191:B191"/>
    <mergeCell ref="H191:I191"/>
    <mergeCell ref="A192:B192"/>
    <mergeCell ref="H192:I192"/>
    <mergeCell ref="A193:B193"/>
    <mergeCell ref="A176:B176"/>
    <mergeCell ref="H176:I176"/>
    <mergeCell ref="A177:B177"/>
    <mergeCell ref="H177:I177"/>
    <mergeCell ref="A178:B178"/>
    <mergeCell ref="H178:I178"/>
    <mergeCell ref="A179:B179"/>
    <mergeCell ref="H179:I179"/>
    <mergeCell ref="A180:B180"/>
    <mergeCell ref="H180:I180"/>
    <mergeCell ref="A181:B181"/>
    <mergeCell ref="H181:I181"/>
    <mergeCell ref="A182:B182"/>
    <mergeCell ref="H182:I182"/>
    <mergeCell ref="A183:B183"/>
    <mergeCell ref="H183:I183"/>
    <mergeCell ref="A184:B184"/>
    <mergeCell ref="H184:I184"/>
    <mergeCell ref="A167:B167"/>
    <mergeCell ref="H167:I167"/>
    <mergeCell ref="A168:B168"/>
    <mergeCell ref="H168:I168"/>
    <mergeCell ref="A169:B169"/>
    <mergeCell ref="H169:I169"/>
    <mergeCell ref="A170:B170"/>
    <mergeCell ref="H170:I170"/>
    <mergeCell ref="A171:B171"/>
    <mergeCell ref="H171:I171"/>
    <mergeCell ref="A172:B172"/>
    <mergeCell ref="H172:I172"/>
    <mergeCell ref="A173:B173"/>
    <mergeCell ref="H173:I173"/>
    <mergeCell ref="A174:B174"/>
    <mergeCell ref="H174:I174"/>
    <mergeCell ref="A175:B175"/>
    <mergeCell ref="H175:I175"/>
    <mergeCell ref="A158:B158"/>
    <mergeCell ref="H158:I158"/>
    <mergeCell ref="A159:B159"/>
    <mergeCell ref="H159:I159"/>
    <mergeCell ref="A160:B160"/>
    <mergeCell ref="H160:I160"/>
    <mergeCell ref="A161:B161"/>
    <mergeCell ref="H161:I161"/>
    <mergeCell ref="A162:B162"/>
    <mergeCell ref="H162:I162"/>
    <mergeCell ref="A163:B163"/>
    <mergeCell ref="H163:I163"/>
    <mergeCell ref="A164:B164"/>
    <mergeCell ref="H164:I164"/>
    <mergeCell ref="A165:B165"/>
    <mergeCell ref="H165:I165"/>
    <mergeCell ref="A166:B166"/>
    <mergeCell ref="H166:I166"/>
    <mergeCell ref="A149:B149"/>
    <mergeCell ref="H149:I149"/>
    <mergeCell ref="A150:B150"/>
    <mergeCell ref="H150:I150"/>
    <mergeCell ref="A151:B151"/>
    <mergeCell ref="H151:I151"/>
    <mergeCell ref="A152:B152"/>
    <mergeCell ref="H152:I152"/>
    <mergeCell ref="A153:B153"/>
    <mergeCell ref="H153:I153"/>
    <mergeCell ref="A154:B154"/>
    <mergeCell ref="H154:I154"/>
    <mergeCell ref="A155:B155"/>
    <mergeCell ref="H155:I155"/>
    <mergeCell ref="A156:B156"/>
    <mergeCell ref="H156:I156"/>
    <mergeCell ref="A157:B157"/>
    <mergeCell ref="H157:I157"/>
    <mergeCell ref="A140:B140"/>
    <mergeCell ref="H140:I140"/>
    <mergeCell ref="A141:B141"/>
    <mergeCell ref="H141:I141"/>
    <mergeCell ref="A142:B142"/>
    <mergeCell ref="H142:I142"/>
    <mergeCell ref="A143:B143"/>
    <mergeCell ref="H143:I143"/>
    <mergeCell ref="A144:B144"/>
    <mergeCell ref="H144:I144"/>
    <mergeCell ref="A145:B145"/>
    <mergeCell ref="H145:I145"/>
    <mergeCell ref="A146:B146"/>
    <mergeCell ref="H146:I146"/>
    <mergeCell ref="A147:B147"/>
    <mergeCell ref="H147:I147"/>
    <mergeCell ref="A148:B148"/>
    <mergeCell ref="H148:I148"/>
    <mergeCell ref="A131:B131"/>
    <mergeCell ref="H131:I131"/>
    <mergeCell ref="A132:B132"/>
    <mergeCell ref="H132:I132"/>
    <mergeCell ref="A133:B133"/>
    <mergeCell ref="H133:I133"/>
    <mergeCell ref="A134:B134"/>
    <mergeCell ref="H134:I134"/>
    <mergeCell ref="A135:B135"/>
    <mergeCell ref="H135:I135"/>
    <mergeCell ref="A136:B136"/>
    <mergeCell ref="H136:I136"/>
    <mergeCell ref="A137:B137"/>
    <mergeCell ref="H137:I137"/>
    <mergeCell ref="A138:B138"/>
    <mergeCell ref="H138:I138"/>
    <mergeCell ref="A139:B139"/>
    <mergeCell ref="H139:I139"/>
    <mergeCell ref="A122:B122"/>
    <mergeCell ref="H122:I122"/>
    <mergeCell ref="A123:B123"/>
    <mergeCell ref="H123:I123"/>
    <mergeCell ref="A124:B124"/>
    <mergeCell ref="H124:I124"/>
    <mergeCell ref="A125:B125"/>
    <mergeCell ref="H125:I125"/>
    <mergeCell ref="A126:B126"/>
    <mergeCell ref="H126:I126"/>
    <mergeCell ref="A127:B127"/>
    <mergeCell ref="H127:I127"/>
    <mergeCell ref="A128:B128"/>
    <mergeCell ref="H128:I128"/>
    <mergeCell ref="A129:B129"/>
    <mergeCell ref="H129:I129"/>
    <mergeCell ref="A130:B130"/>
    <mergeCell ref="H130:I130"/>
    <mergeCell ref="A113:B113"/>
    <mergeCell ref="H113:I113"/>
    <mergeCell ref="A114:B114"/>
    <mergeCell ref="H114:I114"/>
    <mergeCell ref="A115:B115"/>
    <mergeCell ref="H115:I115"/>
    <mergeCell ref="A116:B116"/>
    <mergeCell ref="H116:I116"/>
    <mergeCell ref="A117:B117"/>
    <mergeCell ref="H117:I117"/>
    <mergeCell ref="A118:B118"/>
    <mergeCell ref="H118:I118"/>
    <mergeCell ref="A119:B119"/>
    <mergeCell ref="H119:I119"/>
    <mergeCell ref="A120:B120"/>
    <mergeCell ref="H120:I120"/>
    <mergeCell ref="A121:B121"/>
    <mergeCell ref="H121:I121"/>
    <mergeCell ref="A104:B104"/>
    <mergeCell ref="H104:I104"/>
    <mergeCell ref="A105:B105"/>
    <mergeCell ref="H105:I105"/>
    <mergeCell ref="A106:B106"/>
    <mergeCell ref="H106:I106"/>
    <mergeCell ref="A107:B107"/>
    <mergeCell ref="H107:I107"/>
    <mergeCell ref="A108:B108"/>
    <mergeCell ref="H108:I108"/>
    <mergeCell ref="A109:B109"/>
    <mergeCell ref="H109:I109"/>
    <mergeCell ref="A110:B110"/>
    <mergeCell ref="H110:I110"/>
    <mergeCell ref="A111:B111"/>
    <mergeCell ref="H111:I111"/>
    <mergeCell ref="A112:B112"/>
    <mergeCell ref="H112:I112"/>
    <mergeCell ref="A95:B95"/>
    <mergeCell ref="H95:I95"/>
    <mergeCell ref="A96:B96"/>
    <mergeCell ref="H96:I96"/>
    <mergeCell ref="A97:B97"/>
    <mergeCell ref="H97:I97"/>
    <mergeCell ref="A98:B98"/>
    <mergeCell ref="H98:I98"/>
    <mergeCell ref="A99:B99"/>
    <mergeCell ref="H99:I99"/>
    <mergeCell ref="A100:B100"/>
    <mergeCell ref="H100:I100"/>
    <mergeCell ref="A101:B101"/>
    <mergeCell ref="H101:I101"/>
    <mergeCell ref="A102:B102"/>
    <mergeCell ref="H102:I102"/>
    <mergeCell ref="A103:B103"/>
    <mergeCell ref="H103:I103"/>
    <mergeCell ref="A86:B86"/>
    <mergeCell ref="H86:I86"/>
    <mergeCell ref="A87:B87"/>
    <mergeCell ref="H87:I87"/>
    <mergeCell ref="A88:B88"/>
    <mergeCell ref="H88:I88"/>
    <mergeCell ref="A89:B89"/>
    <mergeCell ref="H89:I89"/>
    <mergeCell ref="A90:B90"/>
    <mergeCell ref="H90:I90"/>
    <mergeCell ref="A91:B91"/>
    <mergeCell ref="H91:I91"/>
    <mergeCell ref="A92:B92"/>
    <mergeCell ref="H92:I92"/>
    <mergeCell ref="A93:B93"/>
    <mergeCell ref="H93:I93"/>
    <mergeCell ref="A94:B94"/>
    <mergeCell ref="H94:I94"/>
    <mergeCell ref="A77:B77"/>
    <mergeCell ref="H77:I77"/>
    <mergeCell ref="A78:B78"/>
    <mergeCell ref="H78:I78"/>
    <mergeCell ref="A79:B79"/>
    <mergeCell ref="H79:I79"/>
    <mergeCell ref="A80:B80"/>
    <mergeCell ref="H80:I80"/>
    <mergeCell ref="A81:B81"/>
    <mergeCell ref="H81:I81"/>
    <mergeCell ref="A82:B82"/>
    <mergeCell ref="H82:I82"/>
    <mergeCell ref="A83:B83"/>
    <mergeCell ref="H83:I83"/>
    <mergeCell ref="A84:B84"/>
    <mergeCell ref="H84:I84"/>
    <mergeCell ref="A85:B85"/>
    <mergeCell ref="H85:I85"/>
    <mergeCell ref="A68:B68"/>
    <mergeCell ref="H68:I68"/>
    <mergeCell ref="A69:B69"/>
    <mergeCell ref="H69:I69"/>
    <mergeCell ref="A70:B70"/>
    <mergeCell ref="H70:I70"/>
    <mergeCell ref="A71:B71"/>
    <mergeCell ref="H71:I71"/>
    <mergeCell ref="A72:B72"/>
    <mergeCell ref="H72:I72"/>
    <mergeCell ref="A73:B73"/>
    <mergeCell ref="H73:I73"/>
    <mergeCell ref="A74:B74"/>
    <mergeCell ref="H74:I74"/>
    <mergeCell ref="A75:B75"/>
    <mergeCell ref="H75:I75"/>
    <mergeCell ref="A76:B76"/>
    <mergeCell ref="H76:I76"/>
    <mergeCell ref="A59:B59"/>
    <mergeCell ref="H59:I59"/>
    <mergeCell ref="A60:B60"/>
    <mergeCell ref="H60:I60"/>
    <mergeCell ref="A61:B61"/>
    <mergeCell ref="H61:I61"/>
    <mergeCell ref="A62:B62"/>
    <mergeCell ref="H62:I62"/>
    <mergeCell ref="A63:B63"/>
    <mergeCell ref="H63:I63"/>
    <mergeCell ref="A64:B64"/>
    <mergeCell ref="H64:I64"/>
    <mergeCell ref="A65:B65"/>
    <mergeCell ref="H65:I65"/>
    <mergeCell ref="A66:B66"/>
    <mergeCell ref="H66:I66"/>
    <mergeCell ref="A67:B67"/>
    <mergeCell ref="H67:I67"/>
    <mergeCell ref="A50:B50"/>
    <mergeCell ref="H50:I50"/>
    <mergeCell ref="A51:B51"/>
    <mergeCell ref="H51:I51"/>
    <mergeCell ref="A52:B52"/>
    <mergeCell ref="H52:I52"/>
    <mergeCell ref="A53:B53"/>
    <mergeCell ref="H53:I53"/>
    <mergeCell ref="A54:B54"/>
    <mergeCell ref="H54:I54"/>
    <mergeCell ref="A55:B55"/>
    <mergeCell ref="H55:I55"/>
    <mergeCell ref="A56:B56"/>
    <mergeCell ref="H56:I56"/>
    <mergeCell ref="A57:B57"/>
    <mergeCell ref="H57:I57"/>
    <mergeCell ref="A58:B58"/>
    <mergeCell ref="H58:I58"/>
    <mergeCell ref="A41:B41"/>
    <mergeCell ref="H41:I41"/>
    <mergeCell ref="A42:B42"/>
    <mergeCell ref="H42:I42"/>
    <mergeCell ref="A43:B43"/>
    <mergeCell ref="H43:I43"/>
    <mergeCell ref="A44:B44"/>
    <mergeCell ref="H44:I44"/>
    <mergeCell ref="A45:B45"/>
    <mergeCell ref="H45:I45"/>
    <mergeCell ref="A46:B46"/>
    <mergeCell ref="A47:B47"/>
    <mergeCell ref="H47:I47"/>
    <mergeCell ref="A48:B48"/>
    <mergeCell ref="H48:I48"/>
    <mergeCell ref="A49:B49"/>
    <mergeCell ref="H49:I49"/>
    <mergeCell ref="A32:B32"/>
    <mergeCell ref="H32:I32"/>
    <mergeCell ref="A33:B33"/>
    <mergeCell ref="H33:I33"/>
    <mergeCell ref="A34:B34"/>
    <mergeCell ref="H34:I34"/>
    <mergeCell ref="A35:B35"/>
    <mergeCell ref="H35:I35"/>
    <mergeCell ref="A36:B36"/>
    <mergeCell ref="H36:I36"/>
    <mergeCell ref="A37:B37"/>
    <mergeCell ref="H37:I37"/>
    <mergeCell ref="A38:B38"/>
    <mergeCell ref="H38:I38"/>
    <mergeCell ref="A39:B39"/>
    <mergeCell ref="H39:I39"/>
    <mergeCell ref="A40:B40"/>
    <mergeCell ref="H40:I40"/>
    <mergeCell ref="A23:B23"/>
    <mergeCell ref="H23:I23"/>
    <mergeCell ref="A24:B24"/>
    <mergeCell ref="H24:I24"/>
    <mergeCell ref="A25:B25"/>
    <mergeCell ref="H25:I25"/>
    <mergeCell ref="A26:B26"/>
    <mergeCell ref="H26:I26"/>
    <mergeCell ref="A27:B27"/>
    <mergeCell ref="H27:I27"/>
    <mergeCell ref="A28:B28"/>
    <mergeCell ref="H28:I28"/>
    <mergeCell ref="A29:B29"/>
    <mergeCell ref="H29:I29"/>
    <mergeCell ref="A30:B30"/>
    <mergeCell ref="H30:I30"/>
    <mergeCell ref="A31:B31"/>
    <mergeCell ref="H31:I31"/>
    <mergeCell ref="A14:B14"/>
    <mergeCell ref="H14:I14"/>
    <mergeCell ref="A15:B15"/>
    <mergeCell ref="H15:I15"/>
    <mergeCell ref="A16:B16"/>
    <mergeCell ref="A17:B17"/>
    <mergeCell ref="H17:I17"/>
    <mergeCell ref="A18:B18"/>
    <mergeCell ref="H18:I18"/>
    <mergeCell ref="A19:B19"/>
    <mergeCell ref="H19:I19"/>
    <mergeCell ref="A20:B20"/>
    <mergeCell ref="H20:I20"/>
    <mergeCell ref="A21:B21"/>
    <mergeCell ref="H21:I21"/>
    <mergeCell ref="A22:B22"/>
    <mergeCell ref="H22:I22"/>
    <mergeCell ref="A1:I1"/>
    <mergeCell ref="B2:H2"/>
    <mergeCell ref="B4:H4"/>
    <mergeCell ref="A6:B6"/>
    <mergeCell ref="H6:I6"/>
    <mergeCell ref="A7:B7"/>
    <mergeCell ref="A8:B8"/>
    <mergeCell ref="H8:I8"/>
    <mergeCell ref="A9:B9"/>
    <mergeCell ref="H9:I9"/>
    <mergeCell ref="A10:B10"/>
    <mergeCell ref="H10:I10"/>
    <mergeCell ref="A11:B11"/>
    <mergeCell ref="H11:I11"/>
    <mergeCell ref="A12:B12"/>
    <mergeCell ref="H12:I12"/>
    <mergeCell ref="A13:B13"/>
    <mergeCell ref="H13:I13"/>
  </mergeCells>
  <pageMargins left="0.5" right="0.5" top="0.5" bottom="0.9" header="0.5" footer="0.5"/>
  <pageSetup orientation="landscape" horizontalDpi="300" verticalDpi="300" r:id="rId1"/>
  <headerFooter alignWithMargins="0">
    <oddFooter>&amp;L&amp;"Tahoma,Regular"&amp;8 Printed by CITYOFFERNDALE\\RachelMoothart on 10/5/2022 12:29:34 PM &amp;C&amp;"Tahoma,Regular"&amp;8 Ferndale - Estimated Expenditure - Actual &amp;R&amp;"Tahoma,Regular"&amp;8 Page 1 of 2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8EC5D-96A1-4AEF-85E7-2C4FB70E89BD}">
  <dimension ref="A1:G46"/>
  <sheetViews>
    <sheetView showGridLines="0" topLeftCell="A25" workbookViewId="0">
      <selection activeCell="A1078" sqref="A1078"/>
    </sheetView>
  </sheetViews>
  <sheetFormatPr defaultRowHeight="15" x14ac:dyDescent="0.25"/>
  <cols>
    <col min="1" max="1" width="24.7109375" customWidth="1"/>
    <col min="2" max="2" width="27.42578125" customWidth="1"/>
    <col min="3" max="6" width="14.42578125" customWidth="1"/>
    <col min="7" max="7" width="13.7109375" customWidth="1"/>
  </cols>
  <sheetData>
    <row r="1" spans="1:7" ht="30.6" customHeight="1" x14ac:dyDescent="0.25"/>
    <row r="2" spans="1:7" ht="18" x14ac:dyDescent="0.25">
      <c r="A2" s="54" t="s">
        <v>3337</v>
      </c>
      <c r="B2" s="52" t="s">
        <v>2</v>
      </c>
      <c r="C2" s="52" t="s">
        <v>2</v>
      </c>
      <c r="D2" s="52" t="s">
        <v>2</v>
      </c>
      <c r="E2" s="52" t="s">
        <v>2</v>
      </c>
      <c r="F2" s="52" t="s">
        <v>2</v>
      </c>
      <c r="G2" s="52" t="s">
        <v>2</v>
      </c>
    </row>
    <row r="3" spans="1:7" x14ac:dyDescent="0.25">
      <c r="A3" s="52" t="s">
        <v>3336</v>
      </c>
      <c r="B3" s="52" t="s">
        <v>1</v>
      </c>
      <c r="C3" s="51" t="s">
        <v>3292</v>
      </c>
      <c r="D3" s="51" t="s">
        <v>3291</v>
      </c>
      <c r="E3" s="51" t="s">
        <v>3290</v>
      </c>
      <c r="F3" s="51" t="s">
        <v>3289</v>
      </c>
      <c r="G3" s="51"/>
    </row>
    <row r="4" spans="1:7" x14ac:dyDescent="0.25">
      <c r="A4" s="2" t="s">
        <v>3335</v>
      </c>
      <c r="B4" s="2" t="s">
        <v>3</v>
      </c>
      <c r="C4" s="3">
        <v>8740081.0600000005</v>
      </c>
      <c r="D4" s="3">
        <v>9607528.2200000007</v>
      </c>
      <c r="E4" s="3">
        <v>11855770.960000001</v>
      </c>
      <c r="F4" s="3">
        <v>8184053.4299999997</v>
      </c>
      <c r="G4" s="3">
        <v>0</v>
      </c>
    </row>
    <row r="5" spans="1:7" ht="24" x14ac:dyDescent="0.25">
      <c r="A5" s="2" t="s">
        <v>3334</v>
      </c>
      <c r="B5" s="2" t="s">
        <v>739</v>
      </c>
      <c r="C5" s="3">
        <v>0</v>
      </c>
      <c r="D5" s="3">
        <v>0</v>
      </c>
      <c r="E5" s="3">
        <v>0</v>
      </c>
      <c r="F5" s="3">
        <v>0</v>
      </c>
      <c r="G5" s="3">
        <v>0</v>
      </c>
    </row>
    <row r="6" spans="1:7" x14ac:dyDescent="0.25">
      <c r="A6" s="2" t="s">
        <v>3333</v>
      </c>
      <c r="B6" s="2" t="s">
        <v>744</v>
      </c>
      <c r="C6" s="3">
        <v>0</v>
      </c>
      <c r="D6" s="3">
        <v>70000</v>
      </c>
      <c r="E6" s="3">
        <v>50000</v>
      </c>
      <c r="F6" s="3">
        <v>0</v>
      </c>
      <c r="G6" s="3">
        <v>0</v>
      </c>
    </row>
    <row r="7" spans="1:7" x14ac:dyDescent="0.25">
      <c r="A7" s="2" t="s">
        <v>3332</v>
      </c>
      <c r="B7" s="2" t="s">
        <v>748</v>
      </c>
      <c r="C7" s="3">
        <v>31716.69</v>
      </c>
      <c r="D7" s="3">
        <v>32310.3</v>
      </c>
      <c r="E7" s="3">
        <v>33664.730000000003</v>
      </c>
      <c r="F7" s="3">
        <v>30337.4</v>
      </c>
      <c r="G7" s="3">
        <v>0</v>
      </c>
    </row>
    <row r="8" spans="1:7" x14ac:dyDescent="0.25">
      <c r="A8" s="2" t="s">
        <v>3331</v>
      </c>
      <c r="B8" s="2" t="s">
        <v>756</v>
      </c>
      <c r="C8" s="3">
        <v>2235513.25</v>
      </c>
      <c r="D8" s="3">
        <v>1656423.7</v>
      </c>
      <c r="E8" s="3">
        <v>1839924.95</v>
      </c>
      <c r="F8" s="3">
        <v>322895.78999999998</v>
      </c>
      <c r="G8" s="3">
        <v>0</v>
      </c>
    </row>
    <row r="9" spans="1:7" ht="24" x14ac:dyDescent="0.25">
      <c r="A9" s="2" t="s">
        <v>3330</v>
      </c>
      <c r="B9" s="2" t="s">
        <v>783</v>
      </c>
      <c r="C9" s="3">
        <v>52146.17</v>
      </c>
      <c r="D9" s="3">
        <v>30585.75</v>
      </c>
      <c r="E9" s="3">
        <v>31554.560000000001</v>
      </c>
      <c r="F9" s="3">
        <v>30622.84</v>
      </c>
      <c r="G9" s="3">
        <v>0</v>
      </c>
    </row>
    <row r="10" spans="1:7" x14ac:dyDescent="0.25">
      <c r="A10" s="2" t="s">
        <v>3329</v>
      </c>
      <c r="B10" s="2" t="s">
        <v>805</v>
      </c>
      <c r="C10" s="3">
        <v>1401384.94</v>
      </c>
      <c r="D10" s="3">
        <v>1263529.6000000001</v>
      </c>
      <c r="E10" s="3">
        <v>1531871.22</v>
      </c>
      <c r="F10" s="3">
        <v>1165060.23</v>
      </c>
      <c r="G10" s="3">
        <v>0</v>
      </c>
    </row>
    <row r="11" spans="1:7" x14ac:dyDescent="0.25">
      <c r="A11" s="2" t="s">
        <v>3328</v>
      </c>
      <c r="B11" s="2" t="s">
        <v>1039</v>
      </c>
      <c r="C11" s="3">
        <v>214645.79</v>
      </c>
      <c r="D11" s="3">
        <v>98615.73</v>
      </c>
      <c r="E11" s="3">
        <v>185897.1</v>
      </c>
      <c r="F11" s="3">
        <v>91514.54</v>
      </c>
      <c r="G11" s="3">
        <v>0</v>
      </c>
    </row>
    <row r="12" spans="1:7" x14ac:dyDescent="0.25">
      <c r="A12" s="2" t="s">
        <v>3327</v>
      </c>
      <c r="B12" s="2" t="s">
        <v>1049</v>
      </c>
      <c r="C12" s="3">
        <v>0</v>
      </c>
      <c r="D12" s="3">
        <v>799326</v>
      </c>
      <c r="E12" s="3">
        <v>219797.85</v>
      </c>
      <c r="F12" s="3">
        <v>145281.19</v>
      </c>
      <c r="G12" s="3">
        <v>0</v>
      </c>
    </row>
    <row r="13" spans="1:7" x14ac:dyDescent="0.25">
      <c r="A13" s="2" t="s">
        <v>3326</v>
      </c>
      <c r="B13" s="2" t="s">
        <v>1061</v>
      </c>
      <c r="C13" s="3">
        <v>15000</v>
      </c>
      <c r="D13" s="3">
        <v>17000</v>
      </c>
      <c r="E13" s="3">
        <v>25000</v>
      </c>
      <c r="F13" s="3">
        <v>0</v>
      </c>
      <c r="G13" s="3">
        <v>0</v>
      </c>
    </row>
    <row r="14" spans="1:7" x14ac:dyDescent="0.25">
      <c r="A14" s="2" t="s">
        <v>3325</v>
      </c>
      <c r="B14" s="2" t="s">
        <v>1064</v>
      </c>
      <c r="C14" s="3">
        <v>250000</v>
      </c>
      <c r="D14" s="3">
        <v>260000</v>
      </c>
      <c r="E14" s="3">
        <v>270000</v>
      </c>
      <c r="F14" s="3">
        <v>0</v>
      </c>
      <c r="G14" s="3">
        <v>0</v>
      </c>
    </row>
    <row r="15" spans="1:7" ht="24" x14ac:dyDescent="0.25">
      <c r="A15" s="2" t="s">
        <v>3324</v>
      </c>
      <c r="B15" s="2" t="s">
        <v>1068</v>
      </c>
      <c r="C15" s="3">
        <v>200000</v>
      </c>
      <c r="D15" s="3">
        <v>81630.55</v>
      </c>
      <c r="E15" s="3">
        <v>0</v>
      </c>
      <c r="F15" s="3">
        <v>0</v>
      </c>
      <c r="G15" s="3">
        <v>0</v>
      </c>
    </row>
    <row r="16" spans="1:7" x14ac:dyDescent="0.25">
      <c r="A16" s="2" t="s">
        <v>3323</v>
      </c>
      <c r="B16" s="2" t="s">
        <v>1078</v>
      </c>
      <c r="C16" s="3">
        <v>90454.64</v>
      </c>
      <c r="D16" s="3">
        <v>200000</v>
      </c>
      <c r="E16" s="3">
        <v>9545.36</v>
      </c>
      <c r="F16" s="3">
        <v>0</v>
      </c>
      <c r="G16" s="3">
        <v>0</v>
      </c>
    </row>
    <row r="17" spans="1:7" ht="24" x14ac:dyDescent="0.25">
      <c r="A17" s="2" t="s">
        <v>3322</v>
      </c>
      <c r="B17" s="2" t="s">
        <v>1094</v>
      </c>
      <c r="C17" s="3">
        <v>0</v>
      </c>
      <c r="D17" s="3">
        <v>0</v>
      </c>
      <c r="E17" s="3">
        <v>65507.32</v>
      </c>
      <c r="F17" s="3">
        <v>1844445.34</v>
      </c>
      <c r="G17" s="3">
        <v>0</v>
      </c>
    </row>
    <row r="18" spans="1:7" x14ac:dyDescent="0.25">
      <c r="A18" s="2" t="s">
        <v>3321</v>
      </c>
      <c r="B18" s="2" t="s">
        <v>1117</v>
      </c>
      <c r="C18" s="3">
        <v>50867.74</v>
      </c>
      <c r="D18" s="3">
        <v>41733.17</v>
      </c>
      <c r="E18" s="3">
        <v>53388.29</v>
      </c>
      <c r="F18" s="3">
        <v>27539.56</v>
      </c>
      <c r="G18" s="3">
        <v>0</v>
      </c>
    </row>
    <row r="19" spans="1:7" x14ac:dyDescent="0.25">
      <c r="A19" s="2" t="s">
        <v>3320</v>
      </c>
      <c r="B19" s="2" t="s">
        <v>1146</v>
      </c>
      <c r="C19" s="3">
        <v>123297</v>
      </c>
      <c r="D19" s="3">
        <v>122097</v>
      </c>
      <c r="E19" s="3">
        <v>120897</v>
      </c>
      <c r="F19" s="3">
        <v>4712.5</v>
      </c>
      <c r="G19" s="3">
        <v>0</v>
      </c>
    </row>
    <row r="20" spans="1:7" ht="24" x14ac:dyDescent="0.25">
      <c r="A20" s="2" t="s">
        <v>3319</v>
      </c>
      <c r="B20" s="2" t="s">
        <v>1160</v>
      </c>
      <c r="C20" s="3">
        <v>111809.18</v>
      </c>
      <c r="D20" s="3">
        <v>34099.19</v>
      </c>
      <c r="E20" s="3">
        <v>36612</v>
      </c>
      <c r="F20" s="3">
        <v>0</v>
      </c>
      <c r="G20" s="3">
        <v>0</v>
      </c>
    </row>
    <row r="21" spans="1:7" ht="24" x14ac:dyDescent="0.25">
      <c r="A21" s="2" t="s">
        <v>3318</v>
      </c>
      <c r="B21" s="2" t="s">
        <v>1170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 x14ac:dyDescent="0.25">
      <c r="A22" s="2" t="s">
        <v>3317</v>
      </c>
      <c r="B22" s="2" t="s">
        <v>1174</v>
      </c>
      <c r="C22" s="3">
        <v>26720</v>
      </c>
      <c r="D22" s="3">
        <v>26720</v>
      </c>
      <c r="E22" s="3">
        <v>77066.22</v>
      </c>
      <c r="F22" s="3">
        <v>0</v>
      </c>
      <c r="G22" s="3">
        <v>0</v>
      </c>
    </row>
    <row r="23" spans="1:7" ht="24" x14ac:dyDescent="0.25">
      <c r="A23" s="2" t="s">
        <v>3316</v>
      </c>
      <c r="B23" s="2" t="s">
        <v>3252</v>
      </c>
      <c r="C23" s="3">
        <v>422678.16</v>
      </c>
      <c r="D23" s="3">
        <v>3785987.61</v>
      </c>
      <c r="E23" s="3">
        <v>319760</v>
      </c>
      <c r="F23" s="3">
        <v>19602.599999999999</v>
      </c>
      <c r="G23" s="3">
        <v>0</v>
      </c>
    </row>
    <row r="24" spans="1:7" ht="24" x14ac:dyDescent="0.25">
      <c r="A24" s="2" t="s">
        <v>3315</v>
      </c>
      <c r="B24" s="2" t="s">
        <v>1186</v>
      </c>
      <c r="C24" s="3">
        <v>163775</v>
      </c>
      <c r="D24" s="3">
        <v>159100</v>
      </c>
      <c r="E24" s="3">
        <v>158800</v>
      </c>
      <c r="F24" s="3">
        <v>11800</v>
      </c>
      <c r="G24" s="3">
        <v>0</v>
      </c>
    </row>
    <row r="25" spans="1:7" ht="24" x14ac:dyDescent="0.25">
      <c r="A25" s="2" t="s">
        <v>3314</v>
      </c>
      <c r="B25" s="2" t="s">
        <v>1191</v>
      </c>
      <c r="C25" s="3">
        <v>186072</v>
      </c>
      <c r="D25" s="3">
        <v>186072</v>
      </c>
      <c r="E25" s="3">
        <v>186072</v>
      </c>
      <c r="F25" s="3">
        <v>93036</v>
      </c>
      <c r="G25" s="3">
        <v>0</v>
      </c>
    </row>
    <row r="26" spans="1:7" ht="24" x14ac:dyDescent="0.25">
      <c r="A26" s="2" t="s">
        <v>3313</v>
      </c>
      <c r="B26" s="2" t="s">
        <v>1195</v>
      </c>
      <c r="C26" s="3">
        <v>218016.29</v>
      </c>
      <c r="D26" s="3">
        <v>216226.78</v>
      </c>
      <c r="E26" s="3">
        <v>876554.12</v>
      </c>
      <c r="F26" s="3">
        <v>42804.26</v>
      </c>
      <c r="G26" s="3">
        <v>0</v>
      </c>
    </row>
    <row r="27" spans="1:7" ht="24" x14ac:dyDescent="0.25">
      <c r="A27" s="2" t="s">
        <v>3312</v>
      </c>
      <c r="B27" s="2" t="s">
        <v>1211</v>
      </c>
      <c r="C27" s="3">
        <v>175000</v>
      </c>
      <c r="D27" s="3">
        <v>100000</v>
      </c>
      <c r="E27" s="3">
        <v>62875.93</v>
      </c>
      <c r="F27" s="3">
        <v>776.88</v>
      </c>
      <c r="G27" s="3">
        <v>0</v>
      </c>
    </row>
    <row r="28" spans="1:7" x14ac:dyDescent="0.25">
      <c r="A28" s="2" t="s">
        <v>3250</v>
      </c>
      <c r="B28" s="2" t="s">
        <v>3249</v>
      </c>
      <c r="C28" s="3">
        <v>43496.55</v>
      </c>
      <c r="D28" s="3">
        <v>0</v>
      </c>
      <c r="E28" s="3">
        <v>0</v>
      </c>
      <c r="F28" s="3">
        <v>0</v>
      </c>
      <c r="G28" s="3">
        <v>0</v>
      </c>
    </row>
    <row r="29" spans="1:7" x14ac:dyDescent="0.25">
      <c r="A29" s="2" t="s">
        <v>3311</v>
      </c>
      <c r="B29" s="2" t="s">
        <v>1221</v>
      </c>
      <c r="C29" s="3">
        <v>0</v>
      </c>
      <c r="D29" s="3">
        <v>0</v>
      </c>
      <c r="E29" s="3">
        <v>15662.24</v>
      </c>
      <c r="F29" s="3">
        <v>172225.01</v>
      </c>
      <c r="G29" s="3">
        <v>0</v>
      </c>
    </row>
    <row r="30" spans="1:7" x14ac:dyDescent="0.25">
      <c r="A30" s="2" t="s">
        <v>3246</v>
      </c>
      <c r="B30" s="2" t="s">
        <v>3245</v>
      </c>
      <c r="C30" s="3">
        <v>910.95</v>
      </c>
      <c r="D30" s="3">
        <v>0</v>
      </c>
      <c r="E30" s="3">
        <v>0</v>
      </c>
      <c r="F30" s="3">
        <v>0</v>
      </c>
      <c r="G30" s="3">
        <v>0</v>
      </c>
    </row>
    <row r="31" spans="1:7" x14ac:dyDescent="0.25">
      <c r="A31" s="2" t="s">
        <v>3310</v>
      </c>
      <c r="B31" s="2" t="s">
        <v>1238</v>
      </c>
      <c r="C31" s="3">
        <v>1855129.93</v>
      </c>
      <c r="D31" s="3">
        <v>8774670.9100000001</v>
      </c>
      <c r="E31" s="3">
        <v>2151109.7400000002</v>
      </c>
      <c r="F31" s="3">
        <v>4348907.78</v>
      </c>
      <c r="G31" s="3">
        <v>0</v>
      </c>
    </row>
    <row r="32" spans="1:7" x14ac:dyDescent="0.25">
      <c r="A32" s="2" t="s">
        <v>3309</v>
      </c>
      <c r="B32" s="2" t="s">
        <v>1267</v>
      </c>
      <c r="C32" s="3">
        <v>3248925.94</v>
      </c>
      <c r="D32" s="3">
        <v>3484934.94</v>
      </c>
      <c r="E32" s="3">
        <v>3489754.88</v>
      </c>
      <c r="F32" s="3">
        <v>2392561.1800000002</v>
      </c>
      <c r="G32" s="3">
        <v>0</v>
      </c>
    </row>
    <row r="33" spans="1:7" x14ac:dyDescent="0.25">
      <c r="A33" s="2" t="s">
        <v>3308</v>
      </c>
      <c r="B33" s="2" t="s">
        <v>1467</v>
      </c>
      <c r="C33" s="3">
        <v>3465153.3</v>
      </c>
      <c r="D33" s="3">
        <v>3838299.9</v>
      </c>
      <c r="E33" s="3">
        <v>5135935.75</v>
      </c>
      <c r="F33" s="3">
        <v>1977236.92</v>
      </c>
      <c r="G33" s="3">
        <v>0</v>
      </c>
    </row>
    <row r="34" spans="1:7" ht="24" x14ac:dyDescent="0.25">
      <c r="A34" s="2" t="s">
        <v>3307</v>
      </c>
      <c r="B34" s="2" t="s">
        <v>1644</v>
      </c>
      <c r="C34" s="3">
        <v>1141068.76</v>
      </c>
      <c r="D34" s="3">
        <v>5283966.03</v>
      </c>
      <c r="E34" s="3">
        <v>1568754.23</v>
      </c>
      <c r="F34" s="3">
        <v>397989.25</v>
      </c>
      <c r="G34" s="3">
        <v>0</v>
      </c>
    </row>
    <row r="35" spans="1:7" x14ac:dyDescent="0.25">
      <c r="A35" s="2" t="s">
        <v>3306</v>
      </c>
      <c r="B35" s="2" t="s">
        <v>1691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</row>
    <row r="36" spans="1:7" x14ac:dyDescent="0.25">
      <c r="A36" s="2" t="s">
        <v>3305</v>
      </c>
      <c r="B36" s="2" t="s">
        <v>1699</v>
      </c>
      <c r="C36" s="3">
        <v>1183965.94</v>
      </c>
      <c r="D36" s="3">
        <v>1156532.75</v>
      </c>
      <c r="E36" s="3">
        <v>1521893.61</v>
      </c>
      <c r="F36" s="3">
        <v>1108369.21</v>
      </c>
      <c r="G36" s="3">
        <v>0</v>
      </c>
    </row>
    <row r="37" spans="1:7" x14ac:dyDescent="0.25">
      <c r="A37" s="2" t="s">
        <v>3304</v>
      </c>
      <c r="B37" s="2" t="s">
        <v>1828</v>
      </c>
      <c r="C37" s="3">
        <v>183962.53</v>
      </c>
      <c r="D37" s="3">
        <v>175891.82</v>
      </c>
      <c r="E37" s="3">
        <v>189064.53</v>
      </c>
      <c r="F37" s="3">
        <v>144202.26999999999</v>
      </c>
      <c r="G37" s="3">
        <v>0</v>
      </c>
    </row>
    <row r="38" spans="1:7" ht="24" x14ac:dyDescent="0.25">
      <c r="A38" s="2" t="s">
        <v>3303</v>
      </c>
      <c r="B38" s="2" t="s">
        <v>1846</v>
      </c>
      <c r="C38" s="3">
        <v>95979.83</v>
      </c>
      <c r="D38" s="3">
        <v>39085.79</v>
      </c>
      <c r="E38" s="3">
        <v>32419.119999999999</v>
      </c>
      <c r="F38" s="3">
        <v>81315.25</v>
      </c>
      <c r="G38" s="3">
        <v>0</v>
      </c>
    </row>
    <row r="39" spans="1:7" ht="24" x14ac:dyDescent="0.25">
      <c r="A39" s="2" t="s">
        <v>3302</v>
      </c>
      <c r="B39" s="2" t="s">
        <v>1854</v>
      </c>
      <c r="C39" s="3">
        <v>0</v>
      </c>
      <c r="D39" s="3">
        <v>75584.55</v>
      </c>
      <c r="E39" s="3">
        <v>109440.27</v>
      </c>
      <c r="F39" s="3">
        <v>27849.98</v>
      </c>
      <c r="G39" s="3">
        <v>0</v>
      </c>
    </row>
    <row r="40" spans="1:7" x14ac:dyDescent="0.25">
      <c r="A40" s="2" t="s">
        <v>3301</v>
      </c>
      <c r="B40" s="2" t="s">
        <v>1860</v>
      </c>
      <c r="C40" s="3">
        <v>0</v>
      </c>
      <c r="D40" s="3">
        <v>1230982.04</v>
      </c>
      <c r="E40" s="3">
        <v>3524.29</v>
      </c>
      <c r="F40" s="3">
        <v>335527.90000000002</v>
      </c>
      <c r="G40" s="3">
        <v>0</v>
      </c>
    </row>
    <row r="41" spans="1:7" ht="24" x14ac:dyDescent="0.25">
      <c r="A41" s="2" t="s">
        <v>3300</v>
      </c>
      <c r="B41" s="2" t="s">
        <v>1866</v>
      </c>
      <c r="C41" s="3">
        <v>0</v>
      </c>
      <c r="D41" s="3">
        <v>20027823.039999999</v>
      </c>
      <c r="E41" s="3">
        <v>10936045.67</v>
      </c>
      <c r="F41" s="3">
        <v>2823223.32</v>
      </c>
      <c r="G41" s="3">
        <v>0</v>
      </c>
    </row>
    <row r="42" spans="1:7" ht="24" x14ac:dyDescent="0.25">
      <c r="A42" s="2" t="s">
        <v>3299</v>
      </c>
      <c r="B42" s="2" t="s">
        <v>41</v>
      </c>
      <c r="C42" s="3">
        <v>247482.17</v>
      </c>
      <c r="D42" s="3">
        <v>303784.3</v>
      </c>
      <c r="E42" s="3">
        <v>270248.07</v>
      </c>
      <c r="F42" s="3">
        <v>183888.51</v>
      </c>
      <c r="G42" s="3">
        <v>0</v>
      </c>
    </row>
    <row r="43" spans="1:7" x14ac:dyDescent="0.25">
      <c r="A43" s="2" t="s">
        <v>3298</v>
      </c>
      <c r="B43" s="2" t="s">
        <v>1898</v>
      </c>
      <c r="C43" s="3">
        <v>863170.31</v>
      </c>
      <c r="D43" s="3">
        <v>940922.09</v>
      </c>
      <c r="E43" s="3">
        <v>1260842.58</v>
      </c>
      <c r="F43" s="3">
        <v>617613.24</v>
      </c>
      <c r="G43" s="3">
        <v>0</v>
      </c>
    </row>
    <row r="44" spans="1:7" x14ac:dyDescent="0.25">
      <c r="A44" s="2" t="s">
        <v>3297</v>
      </c>
      <c r="B44" s="2" t="s">
        <v>2000</v>
      </c>
      <c r="C44" s="3">
        <v>231328.25</v>
      </c>
      <c r="D44" s="3">
        <v>153590.82</v>
      </c>
      <c r="E44" s="3">
        <v>132342.04999999999</v>
      </c>
      <c r="F44" s="3">
        <v>53153.73</v>
      </c>
      <c r="G44" s="3">
        <v>0</v>
      </c>
    </row>
    <row r="45" spans="1:7" x14ac:dyDescent="0.25">
      <c r="A45" s="2" t="s">
        <v>3296</v>
      </c>
      <c r="B45" s="2" t="s">
        <v>2015</v>
      </c>
      <c r="C45" s="3">
        <v>18593.490000000002</v>
      </c>
      <c r="D45" s="3">
        <v>5286.89</v>
      </c>
      <c r="E45" s="3">
        <v>12251.96</v>
      </c>
      <c r="F45" s="3">
        <v>5827.87</v>
      </c>
      <c r="G45" s="3">
        <v>0</v>
      </c>
    </row>
    <row r="46" spans="1:7" x14ac:dyDescent="0.25">
      <c r="A46" s="53" t="s">
        <v>3295</v>
      </c>
      <c r="B46" s="1" t="s">
        <v>2</v>
      </c>
      <c r="C46" s="4">
        <v>27288345.859999999</v>
      </c>
      <c r="D46" s="4">
        <v>64280341.469999999</v>
      </c>
      <c r="E46" s="4">
        <v>44839848.600000001</v>
      </c>
      <c r="F46" s="4">
        <v>26684373.98</v>
      </c>
      <c r="G46" s="4">
        <v>0</v>
      </c>
    </row>
  </sheetData>
  <pageMargins left="0.5" right="0.5" top="0.5" bottom="0.9" header="0.5" footer="0.5"/>
  <pageSetup orientation="landscape" horizontalDpi="300" verticalDpi="300" r:id="rId1"/>
  <headerFooter alignWithMargins="0">
    <oddFooter>&amp;L&amp;"Tahoma,Regular"&amp;8 Printed by CITYOFFERNDALE\\RachelMoothart on 10/5/2022 12:29:34 PM &amp;C&amp;"Tahoma,Regular"&amp;8 Ferndale - Estimated Expenditure - Actual &amp;R&amp;"Tahoma,Regular"&amp;8 Page 2 of 2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A98C-AFCC-4245-85C2-31960DB770A3}">
  <dimension ref="A1:I1050"/>
  <sheetViews>
    <sheetView showGridLines="0" zoomScaleNormal="100" zoomScaleSheetLayoutView="90" workbookViewId="0">
      <selection activeCell="A1078" sqref="A1078"/>
    </sheetView>
  </sheetViews>
  <sheetFormatPr defaultRowHeight="15" x14ac:dyDescent="0.25"/>
  <cols>
    <col min="1" max="1" width="13.7109375" customWidth="1"/>
    <col min="2" max="2" width="11" customWidth="1"/>
    <col min="3" max="3" width="27.42578125" customWidth="1"/>
    <col min="4" max="7" width="14.42578125" customWidth="1"/>
    <col min="8" max="8" width="12" customWidth="1"/>
    <col min="9" max="9" width="1.7109375" customWidth="1"/>
  </cols>
  <sheetData>
    <row r="1" spans="1:9" ht="72" customHeight="1" x14ac:dyDescent="0.25">
      <c r="A1" s="335"/>
      <c r="B1" s="335"/>
      <c r="C1" s="335"/>
      <c r="D1" s="335"/>
      <c r="E1" s="335"/>
      <c r="F1" s="335"/>
      <c r="G1" s="335"/>
      <c r="H1" s="335"/>
      <c r="I1" s="335"/>
    </row>
    <row r="2" spans="1:9" ht="36" customHeight="1" x14ac:dyDescent="0.25">
      <c r="B2" s="336" t="s">
        <v>3401</v>
      </c>
      <c r="C2" s="335"/>
      <c r="D2" s="335"/>
      <c r="E2" s="335"/>
      <c r="F2" s="335"/>
      <c r="G2" s="335"/>
      <c r="H2" s="335"/>
    </row>
    <row r="3" spans="1:9" ht="9" customHeight="1" x14ac:dyDescent="0.25"/>
    <row r="4" spans="1:9" ht="10.9" customHeight="1" x14ac:dyDescent="0.25">
      <c r="B4" s="337" t="s">
        <v>3400</v>
      </c>
      <c r="C4" s="335"/>
      <c r="D4" s="335"/>
      <c r="E4" s="335"/>
      <c r="F4" s="335"/>
      <c r="G4" s="335"/>
      <c r="H4" s="335"/>
    </row>
    <row r="5" spans="1:9" ht="18" customHeight="1" x14ac:dyDescent="0.25"/>
    <row r="6" spans="1:9" x14ac:dyDescent="0.25">
      <c r="A6" s="338" t="s">
        <v>0</v>
      </c>
      <c r="B6" s="335"/>
      <c r="C6" s="52" t="s">
        <v>1</v>
      </c>
      <c r="D6" s="51" t="s">
        <v>3292</v>
      </c>
      <c r="E6" s="51" t="s">
        <v>3291</v>
      </c>
      <c r="F6" s="51" t="s">
        <v>3290</v>
      </c>
      <c r="G6" s="51" t="s">
        <v>3289</v>
      </c>
      <c r="H6" s="339"/>
      <c r="I6" s="335"/>
    </row>
    <row r="7" spans="1:9" x14ac:dyDescent="0.25">
      <c r="A7" s="340" t="s">
        <v>3</v>
      </c>
      <c r="B7" s="335"/>
      <c r="C7" s="1" t="s">
        <v>2</v>
      </c>
    </row>
    <row r="8" spans="1:9" x14ac:dyDescent="0.25">
      <c r="A8" s="340" t="s">
        <v>2026</v>
      </c>
      <c r="B8" s="335"/>
      <c r="C8" s="1" t="s">
        <v>2</v>
      </c>
    </row>
    <row r="9" spans="1:9" x14ac:dyDescent="0.25">
      <c r="A9" s="340" t="s">
        <v>2027</v>
      </c>
      <c r="B9" s="335"/>
      <c r="C9" s="1" t="s">
        <v>2</v>
      </c>
    </row>
    <row r="10" spans="1:9" x14ac:dyDescent="0.25">
      <c r="A10" s="341" t="s">
        <v>2028</v>
      </c>
      <c r="B10" s="335"/>
      <c r="C10" s="2" t="s">
        <v>2029</v>
      </c>
      <c r="D10" s="3">
        <v>1215152.74</v>
      </c>
      <c r="E10" s="3">
        <v>1728145.42</v>
      </c>
      <c r="F10" s="3">
        <v>1846247.86</v>
      </c>
      <c r="G10" s="3">
        <v>1082296.72</v>
      </c>
      <c r="H10" s="342">
        <v>0</v>
      </c>
      <c r="I10" s="335"/>
    </row>
    <row r="11" spans="1:9" x14ac:dyDescent="0.25">
      <c r="A11" s="341" t="s">
        <v>2030</v>
      </c>
      <c r="B11" s="335"/>
      <c r="C11" s="2" t="s">
        <v>2031</v>
      </c>
      <c r="D11" s="3">
        <v>2430849.8199999998</v>
      </c>
      <c r="E11" s="3">
        <v>2721084.17</v>
      </c>
      <c r="F11" s="3">
        <v>3389639.95</v>
      </c>
      <c r="G11" s="3">
        <v>3010390.78</v>
      </c>
      <c r="H11" s="342">
        <v>0</v>
      </c>
      <c r="I11" s="335"/>
    </row>
    <row r="12" spans="1:9" x14ac:dyDescent="0.25">
      <c r="A12" s="341" t="s">
        <v>2032</v>
      </c>
      <c r="B12" s="335"/>
      <c r="C12" s="2" t="s">
        <v>2033</v>
      </c>
      <c r="D12" s="3">
        <v>197556.24</v>
      </c>
      <c r="E12" s="3">
        <v>198223.32</v>
      </c>
      <c r="F12" s="3">
        <v>235029.56</v>
      </c>
      <c r="G12" s="3">
        <v>202656.66</v>
      </c>
      <c r="H12" s="342">
        <v>0</v>
      </c>
      <c r="I12" s="335"/>
    </row>
    <row r="13" spans="1:9" x14ac:dyDescent="0.25">
      <c r="A13" s="341" t="s">
        <v>2034</v>
      </c>
      <c r="B13" s="335"/>
      <c r="C13" s="2" t="s">
        <v>2035</v>
      </c>
      <c r="D13" s="3">
        <v>4432.5200000000004</v>
      </c>
      <c r="E13" s="3">
        <v>1926.44</v>
      </c>
      <c r="F13" s="3">
        <v>3746.59</v>
      </c>
      <c r="G13" s="3">
        <v>3771.53</v>
      </c>
      <c r="H13" s="342">
        <v>0</v>
      </c>
      <c r="I13" s="335"/>
    </row>
    <row r="14" spans="1:9" x14ac:dyDescent="0.25">
      <c r="A14" s="341" t="s">
        <v>2036</v>
      </c>
      <c r="B14" s="335"/>
      <c r="C14" s="2" t="s">
        <v>2037</v>
      </c>
      <c r="D14" s="3">
        <v>586841.21</v>
      </c>
      <c r="E14" s="3">
        <v>584509.86</v>
      </c>
      <c r="F14" s="3">
        <v>611094.72</v>
      </c>
      <c r="G14" s="3">
        <v>620225.63</v>
      </c>
      <c r="H14" s="342">
        <v>0</v>
      </c>
      <c r="I14" s="335"/>
    </row>
    <row r="15" spans="1:9" x14ac:dyDescent="0.25">
      <c r="A15" s="341" t="s">
        <v>2038</v>
      </c>
      <c r="B15" s="335"/>
      <c r="C15" s="2" t="s">
        <v>2039</v>
      </c>
      <c r="D15" s="3">
        <v>191687.41</v>
      </c>
      <c r="E15" s="3">
        <v>208756.85</v>
      </c>
      <c r="F15" s="3">
        <v>238609.16</v>
      </c>
      <c r="G15" s="3">
        <v>281674.71999999997</v>
      </c>
      <c r="H15" s="342">
        <v>0</v>
      </c>
      <c r="I15" s="335"/>
    </row>
    <row r="16" spans="1:9" x14ac:dyDescent="0.25">
      <c r="A16" s="341" t="s">
        <v>2040</v>
      </c>
      <c r="B16" s="335"/>
      <c r="C16" s="2" t="s">
        <v>2041</v>
      </c>
      <c r="D16" s="3">
        <v>223374.63</v>
      </c>
      <c r="E16" s="3">
        <v>192035.5</v>
      </c>
      <c r="F16" s="3">
        <v>158626.38</v>
      </c>
      <c r="G16" s="3">
        <v>120351.16</v>
      </c>
      <c r="H16" s="342">
        <v>0</v>
      </c>
      <c r="I16" s="335"/>
    </row>
    <row r="17" spans="1:9" ht="24" x14ac:dyDescent="0.25">
      <c r="A17" s="341" t="s">
        <v>2042</v>
      </c>
      <c r="B17" s="335"/>
      <c r="C17" s="2" t="s">
        <v>2043</v>
      </c>
      <c r="D17" s="3">
        <v>217.07</v>
      </c>
      <c r="E17" s="3">
        <v>26.02</v>
      </c>
      <c r="F17" s="3">
        <v>0</v>
      </c>
      <c r="G17" s="3">
        <v>0</v>
      </c>
      <c r="H17" s="342">
        <v>0</v>
      </c>
      <c r="I17" s="335"/>
    </row>
    <row r="18" spans="1:9" ht="24" x14ac:dyDescent="0.25">
      <c r="A18" s="341" t="s">
        <v>2044</v>
      </c>
      <c r="B18" s="335"/>
      <c r="C18" s="2" t="s">
        <v>2045</v>
      </c>
      <c r="D18" s="3">
        <v>904199.14</v>
      </c>
      <c r="E18" s="3">
        <v>1110243.5900000001</v>
      </c>
      <c r="F18" s="3">
        <v>1243001.56</v>
      </c>
      <c r="G18" s="3">
        <v>867016.12</v>
      </c>
      <c r="H18" s="342">
        <v>0</v>
      </c>
      <c r="I18" s="335"/>
    </row>
    <row r="19" spans="1:9" ht="24" x14ac:dyDescent="0.25">
      <c r="A19" s="341" t="s">
        <v>3203</v>
      </c>
      <c r="B19" s="335"/>
      <c r="C19" s="2" t="s">
        <v>3204</v>
      </c>
      <c r="D19" s="3">
        <v>0</v>
      </c>
      <c r="E19" s="3">
        <v>0</v>
      </c>
      <c r="F19" s="3">
        <v>0</v>
      </c>
      <c r="G19" s="3">
        <v>432.24</v>
      </c>
      <c r="H19" s="342">
        <v>0</v>
      </c>
      <c r="I19" s="335"/>
    </row>
    <row r="20" spans="1:9" x14ac:dyDescent="0.25">
      <c r="A20" s="340" t="s">
        <v>2046</v>
      </c>
      <c r="B20" s="335"/>
      <c r="C20" s="1" t="s">
        <v>2</v>
      </c>
      <c r="D20" s="4">
        <v>5754310.7800000003</v>
      </c>
      <c r="E20" s="4">
        <v>6744951.1699999999</v>
      </c>
      <c r="F20" s="4">
        <v>7725995.7800000003</v>
      </c>
      <c r="G20" s="4">
        <v>6188815.5599999996</v>
      </c>
      <c r="H20" s="343">
        <v>0</v>
      </c>
      <c r="I20" s="335"/>
    </row>
    <row r="21" spans="1:9" x14ac:dyDescent="0.25">
      <c r="A21" s="340" t="s">
        <v>2</v>
      </c>
      <c r="B21" s="335"/>
      <c r="C21" s="1" t="s">
        <v>2</v>
      </c>
      <c r="D21" s="1" t="s">
        <v>2</v>
      </c>
      <c r="E21" s="1" t="s">
        <v>2</v>
      </c>
      <c r="F21" s="1" t="s">
        <v>2</v>
      </c>
      <c r="G21" s="1" t="s">
        <v>2</v>
      </c>
      <c r="H21" s="340" t="s">
        <v>2</v>
      </c>
      <c r="I21" s="335"/>
    </row>
    <row r="22" spans="1:9" x14ac:dyDescent="0.25">
      <c r="A22" s="340" t="s">
        <v>2047</v>
      </c>
      <c r="B22" s="335"/>
      <c r="C22" s="1" t="s">
        <v>2</v>
      </c>
      <c r="D22" s="4">
        <v>5754310.7800000003</v>
      </c>
      <c r="E22" s="4">
        <v>6744951.1699999999</v>
      </c>
      <c r="F22" s="4">
        <v>7725995.7800000003</v>
      </c>
      <c r="G22" s="4">
        <v>6188815.5599999996</v>
      </c>
      <c r="H22" s="343">
        <v>0</v>
      </c>
      <c r="I22" s="335"/>
    </row>
    <row r="23" spans="1:9" x14ac:dyDescent="0.25">
      <c r="A23" s="340" t="s">
        <v>2</v>
      </c>
      <c r="B23" s="335"/>
      <c r="C23" s="1" t="s">
        <v>2</v>
      </c>
      <c r="D23" s="1" t="s">
        <v>2</v>
      </c>
      <c r="E23" s="1" t="s">
        <v>2</v>
      </c>
      <c r="F23" s="1" t="s">
        <v>2</v>
      </c>
      <c r="G23" s="1" t="s">
        <v>2</v>
      </c>
      <c r="H23" s="340" t="s">
        <v>2</v>
      </c>
      <c r="I23" s="335"/>
    </row>
    <row r="24" spans="1:9" x14ac:dyDescent="0.25">
      <c r="A24" s="340" t="s">
        <v>2048</v>
      </c>
      <c r="B24" s="335"/>
      <c r="C24" s="1" t="s">
        <v>2</v>
      </c>
    </row>
    <row r="25" spans="1:9" x14ac:dyDescent="0.25">
      <c r="A25" s="340" t="s">
        <v>2049</v>
      </c>
      <c r="B25" s="335"/>
      <c r="C25" s="1" t="s">
        <v>2</v>
      </c>
    </row>
    <row r="26" spans="1:9" x14ac:dyDescent="0.25">
      <c r="A26" s="341" t="s">
        <v>2050</v>
      </c>
      <c r="B26" s="335"/>
      <c r="C26" s="2" t="s">
        <v>2051</v>
      </c>
      <c r="D26" s="3">
        <v>246675.82</v>
      </c>
      <c r="E26" s="3">
        <v>157641.57</v>
      </c>
      <c r="F26" s="3">
        <v>167738.74</v>
      </c>
      <c r="G26" s="3">
        <v>131444.12</v>
      </c>
      <c r="H26" s="342">
        <v>0</v>
      </c>
      <c r="I26" s="335"/>
    </row>
    <row r="27" spans="1:9" x14ac:dyDescent="0.25">
      <c r="A27" s="341" t="s">
        <v>2052</v>
      </c>
      <c r="B27" s="335"/>
      <c r="C27" s="2" t="s">
        <v>2053</v>
      </c>
      <c r="D27" s="3">
        <v>144622.23000000001</v>
      </c>
      <c r="E27" s="3">
        <v>139180.69</v>
      </c>
      <c r="F27" s="3">
        <v>166846.68</v>
      </c>
      <c r="G27" s="3">
        <v>190352.6</v>
      </c>
      <c r="H27" s="342">
        <v>0</v>
      </c>
      <c r="I27" s="335"/>
    </row>
    <row r="28" spans="1:9" ht="24" x14ac:dyDescent="0.25">
      <c r="A28" s="341" t="s">
        <v>3399</v>
      </c>
      <c r="B28" s="335"/>
      <c r="C28" s="2" t="s">
        <v>3398</v>
      </c>
      <c r="D28" s="3">
        <v>0</v>
      </c>
      <c r="E28" s="3">
        <v>0</v>
      </c>
      <c r="F28" s="3">
        <v>0</v>
      </c>
      <c r="G28" s="3">
        <v>0</v>
      </c>
      <c r="H28" s="342">
        <v>0</v>
      </c>
      <c r="I28" s="335"/>
    </row>
    <row r="29" spans="1:9" ht="24" x14ac:dyDescent="0.25">
      <c r="A29" s="341" t="s">
        <v>2054</v>
      </c>
      <c r="B29" s="335"/>
      <c r="C29" s="2" t="s">
        <v>2055</v>
      </c>
      <c r="D29" s="3">
        <v>106857.64</v>
      </c>
      <c r="E29" s="3">
        <v>102943.33</v>
      </c>
      <c r="F29" s="3">
        <v>123755.03</v>
      </c>
      <c r="G29" s="3">
        <v>113415.27</v>
      </c>
      <c r="H29" s="342">
        <v>0</v>
      </c>
      <c r="I29" s="335"/>
    </row>
    <row r="30" spans="1:9" x14ac:dyDescent="0.25">
      <c r="A30" s="341" t="s">
        <v>3397</v>
      </c>
      <c r="B30" s="335"/>
      <c r="C30" s="2" t="s">
        <v>3396</v>
      </c>
      <c r="D30" s="3">
        <v>0</v>
      </c>
      <c r="E30" s="3">
        <v>0</v>
      </c>
      <c r="F30" s="3">
        <v>0</v>
      </c>
      <c r="G30" s="3">
        <v>0</v>
      </c>
      <c r="H30" s="342">
        <v>0</v>
      </c>
      <c r="I30" s="335"/>
    </row>
    <row r="31" spans="1:9" x14ac:dyDescent="0.25">
      <c r="A31" s="340" t="s">
        <v>2056</v>
      </c>
      <c r="B31" s="335"/>
      <c r="C31" s="1" t="s">
        <v>2</v>
      </c>
      <c r="D31" s="4">
        <v>498155.69</v>
      </c>
      <c r="E31" s="4">
        <v>399765.59</v>
      </c>
      <c r="F31" s="4">
        <v>458340.45</v>
      </c>
      <c r="G31" s="4">
        <v>435211.99</v>
      </c>
      <c r="H31" s="343">
        <v>0</v>
      </c>
      <c r="I31" s="335"/>
    </row>
    <row r="32" spans="1:9" x14ac:dyDescent="0.25">
      <c r="A32" s="340" t="s">
        <v>2</v>
      </c>
      <c r="B32" s="335"/>
      <c r="C32" s="1" t="s">
        <v>2</v>
      </c>
      <c r="D32" s="1" t="s">
        <v>2</v>
      </c>
      <c r="E32" s="1" t="s">
        <v>2</v>
      </c>
      <c r="F32" s="1" t="s">
        <v>2</v>
      </c>
      <c r="G32" s="1" t="s">
        <v>2</v>
      </c>
      <c r="H32" s="340" t="s">
        <v>2</v>
      </c>
      <c r="I32" s="335"/>
    </row>
    <row r="33" spans="1:9" x14ac:dyDescent="0.25">
      <c r="A33" s="340" t="s">
        <v>2057</v>
      </c>
      <c r="B33" s="335"/>
      <c r="C33" s="1" t="s">
        <v>2</v>
      </c>
    </row>
    <row r="34" spans="1:9" x14ac:dyDescent="0.25">
      <c r="A34" s="341" t="s">
        <v>3395</v>
      </c>
      <c r="B34" s="335"/>
      <c r="C34" s="2" t="s">
        <v>3394</v>
      </c>
      <c r="D34" s="3">
        <v>0</v>
      </c>
      <c r="E34" s="3">
        <v>0</v>
      </c>
      <c r="F34" s="3">
        <v>0</v>
      </c>
      <c r="G34" s="3">
        <v>0</v>
      </c>
      <c r="H34" s="342">
        <v>0</v>
      </c>
      <c r="I34" s="335"/>
    </row>
    <row r="35" spans="1:9" x14ac:dyDescent="0.25">
      <c r="A35" s="341" t="s">
        <v>2058</v>
      </c>
      <c r="B35" s="335"/>
      <c r="C35" s="2" t="s">
        <v>2059</v>
      </c>
      <c r="D35" s="3">
        <v>276755</v>
      </c>
      <c r="E35" s="3">
        <v>327350.2</v>
      </c>
      <c r="F35" s="3">
        <v>373165.8</v>
      </c>
      <c r="G35" s="3">
        <v>175884.4</v>
      </c>
      <c r="H35" s="342">
        <v>0</v>
      </c>
      <c r="I35" s="335"/>
    </row>
    <row r="36" spans="1:9" x14ac:dyDescent="0.25">
      <c r="A36" s="341" t="s">
        <v>2060</v>
      </c>
      <c r="B36" s="335"/>
      <c r="C36" s="2" t="s">
        <v>2061</v>
      </c>
      <c r="D36" s="3">
        <v>7388.55</v>
      </c>
      <c r="E36" s="3">
        <v>7763.5</v>
      </c>
      <c r="F36" s="3">
        <v>14153.05</v>
      </c>
      <c r="G36" s="3">
        <v>10442.83</v>
      </c>
      <c r="H36" s="342">
        <v>0</v>
      </c>
      <c r="I36" s="335"/>
    </row>
    <row r="37" spans="1:9" x14ac:dyDescent="0.25">
      <c r="A37" s="341" t="s">
        <v>2062</v>
      </c>
      <c r="B37" s="335"/>
      <c r="C37" s="2" t="s">
        <v>2063</v>
      </c>
      <c r="D37" s="3">
        <v>48872.09</v>
      </c>
      <c r="E37" s="3">
        <v>54086</v>
      </c>
      <c r="F37" s="3">
        <v>107103</v>
      </c>
      <c r="G37" s="3">
        <v>49351</v>
      </c>
      <c r="H37" s="342">
        <v>0</v>
      </c>
      <c r="I37" s="335"/>
    </row>
    <row r="38" spans="1:9" x14ac:dyDescent="0.25">
      <c r="A38" s="341" t="s">
        <v>2064</v>
      </c>
      <c r="B38" s="335"/>
      <c r="C38" s="2" t="s">
        <v>2065</v>
      </c>
      <c r="D38" s="3">
        <v>32695</v>
      </c>
      <c r="E38" s="3">
        <v>32119</v>
      </c>
      <c r="F38" s="3">
        <v>58838</v>
      </c>
      <c r="G38" s="3">
        <v>21814</v>
      </c>
      <c r="H38" s="342">
        <v>0</v>
      </c>
      <c r="I38" s="335"/>
    </row>
    <row r="39" spans="1:9" x14ac:dyDescent="0.25">
      <c r="A39" s="341" t="s">
        <v>2066</v>
      </c>
      <c r="B39" s="335"/>
      <c r="C39" s="2" t="s">
        <v>2067</v>
      </c>
      <c r="D39" s="3">
        <v>0</v>
      </c>
      <c r="E39" s="3">
        <v>0</v>
      </c>
      <c r="F39" s="3">
        <v>0</v>
      </c>
      <c r="G39" s="3">
        <v>0</v>
      </c>
      <c r="H39" s="342">
        <v>0</v>
      </c>
      <c r="I39" s="335"/>
    </row>
    <row r="40" spans="1:9" x14ac:dyDescent="0.25">
      <c r="A40" s="341" t="s">
        <v>2068</v>
      </c>
      <c r="B40" s="335"/>
      <c r="C40" s="2" t="s">
        <v>2069</v>
      </c>
      <c r="D40" s="3">
        <v>0</v>
      </c>
      <c r="E40" s="3">
        <v>0</v>
      </c>
      <c r="F40" s="3">
        <v>77909.3</v>
      </c>
      <c r="G40" s="3">
        <v>0</v>
      </c>
      <c r="H40" s="342">
        <v>0</v>
      </c>
      <c r="I40" s="335"/>
    </row>
    <row r="41" spans="1:9" x14ac:dyDescent="0.25">
      <c r="A41" s="341" t="s">
        <v>2070</v>
      </c>
      <c r="B41" s="335"/>
      <c r="C41" s="2" t="s">
        <v>2071</v>
      </c>
      <c r="D41" s="3">
        <v>3083.05</v>
      </c>
      <c r="E41" s="3">
        <v>2223.65</v>
      </c>
      <c r="F41" s="3">
        <v>3550.8</v>
      </c>
      <c r="G41" s="3">
        <v>3515.35</v>
      </c>
      <c r="H41" s="342">
        <v>0</v>
      </c>
      <c r="I41" s="335"/>
    </row>
    <row r="42" spans="1:9" x14ac:dyDescent="0.25">
      <c r="A42" s="341" t="s">
        <v>2072</v>
      </c>
      <c r="B42" s="335"/>
      <c r="C42" s="2" t="s">
        <v>2073</v>
      </c>
      <c r="D42" s="3">
        <v>2500</v>
      </c>
      <c r="E42" s="3">
        <v>8139</v>
      </c>
      <c r="F42" s="3">
        <v>4182.75</v>
      </c>
      <c r="G42" s="3">
        <v>1427.5</v>
      </c>
      <c r="H42" s="342">
        <v>0</v>
      </c>
      <c r="I42" s="335"/>
    </row>
    <row r="43" spans="1:9" x14ac:dyDescent="0.25">
      <c r="A43" s="341" t="s">
        <v>2074</v>
      </c>
      <c r="B43" s="335"/>
      <c r="C43" s="2" t="s">
        <v>2075</v>
      </c>
      <c r="D43" s="3">
        <v>54524.15</v>
      </c>
      <c r="E43" s="3">
        <v>81860.7</v>
      </c>
      <c r="F43" s="3">
        <v>331762.09999999998</v>
      </c>
      <c r="G43" s="3">
        <v>128360.05</v>
      </c>
      <c r="H43" s="342">
        <v>0</v>
      </c>
      <c r="I43" s="335"/>
    </row>
    <row r="44" spans="1:9" x14ac:dyDescent="0.25">
      <c r="A44" s="341" t="s">
        <v>2076</v>
      </c>
      <c r="B44" s="335"/>
      <c r="C44" s="2" t="s">
        <v>2077</v>
      </c>
      <c r="D44" s="3">
        <v>7350.1</v>
      </c>
      <c r="E44" s="3">
        <v>0</v>
      </c>
      <c r="F44" s="3">
        <v>0</v>
      </c>
      <c r="G44" s="3">
        <v>0</v>
      </c>
      <c r="H44" s="342">
        <v>0</v>
      </c>
      <c r="I44" s="335"/>
    </row>
    <row r="45" spans="1:9" x14ac:dyDescent="0.25">
      <c r="A45" s="341" t="s">
        <v>2078</v>
      </c>
      <c r="B45" s="335"/>
      <c r="C45" s="2" t="s">
        <v>2079</v>
      </c>
      <c r="D45" s="3">
        <v>4181.5</v>
      </c>
      <c r="E45" s="3">
        <v>3897.85</v>
      </c>
      <c r="F45" s="3">
        <v>9346.2999999999993</v>
      </c>
      <c r="G45" s="3">
        <v>3437.9</v>
      </c>
      <c r="H45" s="342">
        <v>0</v>
      </c>
      <c r="I45" s="335"/>
    </row>
    <row r="46" spans="1:9" ht="24" x14ac:dyDescent="0.25">
      <c r="A46" s="341" t="s">
        <v>2080</v>
      </c>
      <c r="B46" s="335"/>
      <c r="C46" s="2" t="s">
        <v>2081</v>
      </c>
      <c r="D46" s="3">
        <v>0</v>
      </c>
      <c r="E46" s="3">
        <v>0</v>
      </c>
      <c r="F46" s="3">
        <v>400</v>
      </c>
      <c r="G46" s="3">
        <v>0</v>
      </c>
      <c r="H46" s="342">
        <v>0</v>
      </c>
      <c r="I46" s="335"/>
    </row>
    <row r="47" spans="1:9" x14ac:dyDescent="0.25">
      <c r="A47" s="341" t="s">
        <v>2082</v>
      </c>
      <c r="B47" s="335"/>
      <c r="C47" s="2" t="s">
        <v>2083</v>
      </c>
      <c r="D47" s="3">
        <v>19332.21</v>
      </c>
      <c r="E47" s="3">
        <v>16473.66</v>
      </c>
      <c r="F47" s="3">
        <v>2861.93</v>
      </c>
      <c r="G47" s="3">
        <v>6910.29</v>
      </c>
      <c r="H47" s="342">
        <v>0</v>
      </c>
      <c r="I47" s="335"/>
    </row>
    <row r="48" spans="1:9" x14ac:dyDescent="0.25">
      <c r="A48" s="341" t="s">
        <v>2084</v>
      </c>
      <c r="B48" s="335"/>
      <c r="C48" s="2" t="s">
        <v>2085</v>
      </c>
      <c r="D48" s="3">
        <v>0</v>
      </c>
      <c r="E48" s="3">
        <v>1201</v>
      </c>
      <c r="F48" s="3">
        <v>682.15</v>
      </c>
      <c r="G48" s="3">
        <v>783.75</v>
      </c>
      <c r="H48" s="342">
        <v>0</v>
      </c>
      <c r="I48" s="335"/>
    </row>
    <row r="49" spans="1:9" ht="24" x14ac:dyDescent="0.25">
      <c r="A49" s="341" t="s">
        <v>2086</v>
      </c>
      <c r="B49" s="335"/>
      <c r="C49" s="2" t="s">
        <v>2087</v>
      </c>
      <c r="D49" s="3">
        <v>292.5</v>
      </c>
      <c r="E49" s="3">
        <v>1744.75</v>
      </c>
      <c r="F49" s="3">
        <v>1285</v>
      </c>
      <c r="G49" s="3">
        <v>83.25</v>
      </c>
      <c r="H49" s="342">
        <v>0</v>
      </c>
      <c r="I49" s="335"/>
    </row>
    <row r="50" spans="1:9" x14ac:dyDescent="0.25">
      <c r="A50" s="341" t="s">
        <v>2088</v>
      </c>
      <c r="B50" s="335"/>
      <c r="C50" s="2" t="s">
        <v>2089</v>
      </c>
      <c r="D50" s="3">
        <v>31338.55</v>
      </c>
      <c r="E50" s="3">
        <v>27646.75</v>
      </c>
      <c r="F50" s="3">
        <v>17096.5</v>
      </c>
      <c r="G50" s="3">
        <v>28436.55</v>
      </c>
      <c r="H50" s="342">
        <v>0</v>
      </c>
      <c r="I50" s="335"/>
    </row>
    <row r="51" spans="1:9" x14ac:dyDescent="0.25">
      <c r="A51" s="341" t="s">
        <v>2090</v>
      </c>
      <c r="B51" s="335"/>
      <c r="C51" s="2" t="s">
        <v>2091</v>
      </c>
      <c r="D51" s="3">
        <v>3400</v>
      </c>
      <c r="E51" s="3">
        <v>4901</v>
      </c>
      <c r="F51" s="3">
        <v>2700</v>
      </c>
      <c r="G51" s="3">
        <v>2827.94</v>
      </c>
      <c r="H51" s="342">
        <v>0</v>
      </c>
      <c r="I51" s="335"/>
    </row>
    <row r="52" spans="1:9" x14ac:dyDescent="0.25">
      <c r="A52" s="341" t="s">
        <v>2092</v>
      </c>
      <c r="B52" s="335"/>
      <c r="C52" s="2" t="s">
        <v>2093</v>
      </c>
      <c r="D52" s="3">
        <v>1720.75</v>
      </c>
      <c r="E52" s="3">
        <v>818.75</v>
      </c>
      <c r="F52" s="3">
        <v>390.5</v>
      </c>
      <c r="G52" s="3">
        <v>1930.75</v>
      </c>
      <c r="H52" s="342">
        <v>0</v>
      </c>
      <c r="I52" s="335"/>
    </row>
    <row r="53" spans="1:9" ht="24" x14ac:dyDescent="0.25">
      <c r="A53" s="341" t="s">
        <v>2094</v>
      </c>
      <c r="B53" s="335"/>
      <c r="C53" s="2" t="s">
        <v>2095</v>
      </c>
      <c r="D53" s="3">
        <v>0</v>
      </c>
      <c r="E53" s="3">
        <v>305</v>
      </c>
      <c r="F53" s="3">
        <v>0</v>
      </c>
      <c r="G53" s="3">
        <v>0</v>
      </c>
      <c r="H53" s="342">
        <v>0</v>
      </c>
      <c r="I53" s="335"/>
    </row>
    <row r="54" spans="1:9" x14ac:dyDescent="0.25">
      <c r="A54" s="341" t="s">
        <v>2096</v>
      </c>
      <c r="B54" s="335"/>
      <c r="C54" s="2" t="s">
        <v>2097</v>
      </c>
      <c r="D54" s="3">
        <v>8687</v>
      </c>
      <c r="E54" s="3">
        <v>2429</v>
      </c>
      <c r="F54" s="3">
        <v>3790</v>
      </c>
      <c r="G54" s="3">
        <v>3206</v>
      </c>
      <c r="H54" s="342">
        <v>0</v>
      </c>
      <c r="I54" s="335"/>
    </row>
    <row r="55" spans="1:9" x14ac:dyDescent="0.25">
      <c r="A55" s="341" t="s">
        <v>2098</v>
      </c>
      <c r="B55" s="335"/>
      <c r="C55" s="2" t="s">
        <v>2099</v>
      </c>
      <c r="D55" s="3">
        <v>0</v>
      </c>
      <c r="E55" s="3">
        <v>624</v>
      </c>
      <c r="F55" s="3">
        <v>6685</v>
      </c>
      <c r="G55" s="3">
        <v>0</v>
      </c>
      <c r="H55" s="342">
        <v>0</v>
      </c>
      <c r="I55" s="335"/>
    </row>
    <row r="56" spans="1:9" x14ac:dyDescent="0.25">
      <c r="A56" s="340" t="s">
        <v>2100</v>
      </c>
      <c r="B56" s="335"/>
      <c r="C56" s="1" t="s">
        <v>2</v>
      </c>
      <c r="D56" s="4">
        <v>502120.45</v>
      </c>
      <c r="E56" s="4">
        <v>573583.81000000006</v>
      </c>
      <c r="F56" s="4">
        <v>1015902.18</v>
      </c>
      <c r="G56" s="4">
        <v>438411.56</v>
      </c>
      <c r="H56" s="343">
        <v>0</v>
      </c>
      <c r="I56" s="335"/>
    </row>
    <row r="57" spans="1:9" x14ac:dyDescent="0.25">
      <c r="A57" s="340" t="s">
        <v>2</v>
      </c>
      <c r="B57" s="335"/>
      <c r="C57" s="1" t="s">
        <v>2</v>
      </c>
      <c r="D57" s="1" t="s">
        <v>2</v>
      </c>
      <c r="E57" s="1" t="s">
        <v>2</v>
      </c>
      <c r="F57" s="1" t="s">
        <v>2</v>
      </c>
      <c r="G57" s="1" t="s">
        <v>2</v>
      </c>
      <c r="H57" s="340" t="s">
        <v>2</v>
      </c>
      <c r="I57" s="335"/>
    </row>
    <row r="58" spans="1:9" x14ac:dyDescent="0.25">
      <c r="A58" s="340" t="s">
        <v>2101</v>
      </c>
      <c r="B58" s="335"/>
      <c r="C58" s="1" t="s">
        <v>2</v>
      </c>
      <c r="D58" s="4">
        <v>1000276.14</v>
      </c>
      <c r="E58" s="4">
        <v>973349.4</v>
      </c>
      <c r="F58" s="4">
        <v>1474242.63</v>
      </c>
      <c r="G58" s="4">
        <v>873623.55</v>
      </c>
      <c r="H58" s="343">
        <v>0</v>
      </c>
      <c r="I58" s="335"/>
    </row>
    <row r="59" spans="1:9" x14ac:dyDescent="0.25">
      <c r="A59" s="340" t="s">
        <v>2</v>
      </c>
      <c r="B59" s="335"/>
      <c r="C59" s="1" t="s">
        <v>2</v>
      </c>
      <c r="D59" s="1" t="s">
        <v>2</v>
      </c>
      <c r="E59" s="1" t="s">
        <v>2</v>
      </c>
      <c r="F59" s="1" t="s">
        <v>2</v>
      </c>
      <c r="G59" s="1" t="s">
        <v>2</v>
      </c>
      <c r="H59" s="340" t="s">
        <v>2</v>
      </c>
      <c r="I59" s="335"/>
    </row>
    <row r="60" spans="1:9" x14ac:dyDescent="0.25">
      <c r="A60" s="340" t="s">
        <v>2026</v>
      </c>
      <c r="B60" s="335"/>
      <c r="C60" s="1" t="s">
        <v>2</v>
      </c>
    </row>
    <row r="61" spans="1:9" x14ac:dyDescent="0.25">
      <c r="A61" s="340" t="s">
        <v>2102</v>
      </c>
      <c r="B61" s="335"/>
      <c r="C61" s="1" t="s">
        <v>2</v>
      </c>
    </row>
    <row r="62" spans="1:9" x14ac:dyDescent="0.25">
      <c r="A62" s="340" t="s">
        <v>2103</v>
      </c>
      <c r="B62" s="335"/>
      <c r="C62" s="1" t="s">
        <v>2</v>
      </c>
    </row>
    <row r="63" spans="1:9" x14ac:dyDescent="0.25">
      <c r="A63" s="341" t="s">
        <v>2104</v>
      </c>
      <c r="B63" s="335"/>
      <c r="C63" s="2" t="s">
        <v>2105</v>
      </c>
      <c r="D63" s="3">
        <v>0</v>
      </c>
      <c r="E63" s="3">
        <v>0</v>
      </c>
      <c r="F63" s="3">
        <v>0</v>
      </c>
      <c r="G63" s="3">
        <v>0</v>
      </c>
      <c r="H63" s="342">
        <v>0</v>
      </c>
      <c r="I63" s="335"/>
    </row>
    <row r="64" spans="1:9" x14ac:dyDescent="0.25">
      <c r="A64" s="341" t="s">
        <v>2106</v>
      </c>
      <c r="B64" s="335"/>
      <c r="C64" s="2" t="s">
        <v>2107</v>
      </c>
      <c r="D64" s="3">
        <v>418.5</v>
      </c>
      <c r="E64" s="3">
        <v>1710.95</v>
      </c>
      <c r="F64" s="3">
        <v>4097.3100000000004</v>
      </c>
      <c r="G64" s="3">
        <v>0</v>
      </c>
      <c r="H64" s="342">
        <v>0</v>
      </c>
      <c r="I64" s="335"/>
    </row>
    <row r="65" spans="1:9" x14ac:dyDescent="0.25">
      <c r="A65" s="340" t="s">
        <v>2108</v>
      </c>
      <c r="B65" s="335"/>
      <c r="C65" s="1" t="s">
        <v>2</v>
      </c>
      <c r="D65" s="4">
        <v>418.5</v>
      </c>
      <c r="E65" s="4">
        <v>1710.95</v>
      </c>
      <c r="F65" s="4">
        <v>4097.3100000000004</v>
      </c>
      <c r="G65" s="4">
        <v>0</v>
      </c>
      <c r="H65" s="343">
        <v>0</v>
      </c>
      <c r="I65" s="335"/>
    </row>
    <row r="66" spans="1:9" x14ac:dyDescent="0.25">
      <c r="A66" s="340" t="s">
        <v>2</v>
      </c>
      <c r="B66" s="335"/>
      <c r="C66" s="1" t="s">
        <v>2</v>
      </c>
      <c r="D66" s="1" t="s">
        <v>2</v>
      </c>
      <c r="E66" s="1" t="s">
        <v>2</v>
      </c>
      <c r="F66" s="1" t="s">
        <v>2</v>
      </c>
      <c r="G66" s="1" t="s">
        <v>2</v>
      </c>
      <c r="H66" s="340" t="s">
        <v>2</v>
      </c>
      <c r="I66" s="335"/>
    </row>
    <row r="67" spans="1:9" x14ac:dyDescent="0.25">
      <c r="A67" s="341" t="s">
        <v>2109</v>
      </c>
      <c r="B67" s="335"/>
      <c r="C67" s="2" t="s">
        <v>2110</v>
      </c>
      <c r="D67" s="3">
        <v>0</v>
      </c>
      <c r="E67" s="3">
        <v>0</v>
      </c>
      <c r="F67" s="3">
        <v>0</v>
      </c>
      <c r="G67" s="3">
        <v>0</v>
      </c>
      <c r="H67" s="342">
        <v>0</v>
      </c>
      <c r="I67" s="335"/>
    </row>
    <row r="68" spans="1:9" x14ac:dyDescent="0.25">
      <c r="A68" s="340" t="s">
        <v>2111</v>
      </c>
      <c r="B68" s="335"/>
      <c r="C68" s="1" t="s">
        <v>2</v>
      </c>
    </row>
    <row r="69" spans="1:9" ht="24" x14ac:dyDescent="0.25">
      <c r="A69" s="341" t="s">
        <v>2112</v>
      </c>
      <c r="B69" s="335"/>
      <c r="C69" s="2" t="s">
        <v>2113</v>
      </c>
      <c r="D69" s="3">
        <v>0</v>
      </c>
      <c r="E69" s="3">
        <v>500521.97</v>
      </c>
      <c r="F69" s="3">
        <v>0</v>
      </c>
      <c r="G69" s="3">
        <v>0</v>
      </c>
      <c r="H69" s="342">
        <v>0</v>
      </c>
      <c r="I69" s="335"/>
    </row>
    <row r="70" spans="1:9" x14ac:dyDescent="0.25">
      <c r="A70" s="341" t="s">
        <v>2114</v>
      </c>
      <c r="B70" s="335"/>
      <c r="C70" s="2" t="s">
        <v>2115</v>
      </c>
      <c r="D70" s="3">
        <v>9425.01</v>
      </c>
      <c r="E70" s="3">
        <v>10353.290000000001</v>
      </c>
      <c r="F70" s="3">
        <v>9981.9599999999991</v>
      </c>
      <c r="G70" s="3">
        <v>6654.64</v>
      </c>
      <c r="H70" s="342">
        <v>0</v>
      </c>
      <c r="I70" s="335"/>
    </row>
    <row r="71" spans="1:9" x14ac:dyDescent="0.25">
      <c r="A71" s="341" t="s">
        <v>2116</v>
      </c>
      <c r="B71" s="335"/>
      <c r="C71" s="2" t="s">
        <v>2117</v>
      </c>
      <c r="D71" s="3">
        <v>0</v>
      </c>
      <c r="E71" s="3">
        <v>0</v>
      </c>
      <c r="F71" s="3">
        <v>5717.38</v>
      </c>
      <c r="G71" s="3">
        <v>0</v>
      </c>
      <c r="H71" s="342">
        <v>0</v>
      </c>
      <c r="I71" s="335"/>
    </row>
    <row r="72" spans="1:9" x14ac:dyDescent="0.25">
      <c r="A72" s="341" t="s">
        <v>2118</v>
      </c>
      <c r="B72" s="335"/>
      <c r="C72" s="2" t="s">
        <v>2119</v>
      </c>
      <c r="D72" s="3">
        <v>0</v>
      </c>
      <c r="E72" s="3">
        <v>0</v>
      </c>
      <c r="F72" s="3">
        <v>1251.2</v>
      </c>
      <c r="G72" s="3">
        <v>0</v>
      </c>
      <c r="H72" s="342">
        <v>0</v>
      </c>
      <c r="I72" s="335"/>
    </row>
    <row r="73" spans="1:9" x14ac:dyDescent="0.25">
      <c r="A73" s="341" t="s">
        <v>2120</v>
      </c>
      <c r="B73" s="335"/>
      <c r="C73" s="2" t="s">
        <v>2121</v>
      </c>
      <c r="D73" s="3">
        <v>0</v>
      </c>
      <c r="E73" s="3">
        <v>0</v>
      </c>
      <c r="F73" s="3">
        <v>23088.44</v>
      </c>
      <c r="G73" s="3">
        <v>0</v>
      </c>
      <c r="H73" s="342">
        <v>0</v>
      </c>
      <c r="I73" s="335"/>
    </row>
    <row r="74" spans="1:9" x14ac:dyDescent="0.25">
      <c r="A74" s="341" t="s">
        <v>2122</v>
      </c>
      <c r="B74" s="335"/>
      <c r="C74" s="2" t="s">
        <v>2123</v>
      </c>
      <c r="D74" s="3">
        <v>0</v>
      </c>
      <c r="E74" s="3">
        <v>0</v>
      </c>
      <c r="F74" s="3">
        <v>11174.7</v>
      </c>
      <c r="G74" s="3">
        <v>10228.01</v>
      </c>
      <c r="H74" s="342">
        <v>0</v>
      </c>
      <c r="I74" s="335"/>
    </row>
    <row r="75" spans="1:9" ht="24" x14ac:dyDescent="0.25">
      <c r="A75" s="341" t="s">
        <v>2124</v>
      </c>
      <c r="B75" s="335"/>
      <c r="C75" s="2" t="s">
        <v>2125</v>
      </c>
      <c r="D75" s="3">
        <v>53603.81</v>
      </c>
      <c r="E75" s="3">
        <v>42465</v>
      </c>
      <c r="F75" s="3">
        <v>3255.57</v>
      </c>
      <c r="G75" s="3">
        <v>26105.040000000001</v>
      </c>
      <c r="H75" s="342">
        <v>0</v>
      </c>
      <c r="I75" s="335"/>
    </row>
    <row r="76" spans="1:9" x14ac:dyDescent="0.25">
      <c r="A76" s="340" t="s">
        <v>2126</v>
      </c>
      <c r="B76" s="335"/>
      <c r="C76" s="1" t="s">
        <v>2</v>
      </c>
      <c r="D76" s="4">
        <v>63028.82</v>
      </c>
      <c r="E76" s="4">
        <v>553340.26</v>
      </c>
      <c r="F76" s="4">
        <v>54469.25</v>
      </c>
      <c r="G76" s="4">
        <v>42987.69</v>
      </c>
      <c r="H76" s="343">
        <v>0</v>
      </c>
      <c r="I76" s="335"/>
    </row>
    <row r="77" spans="1:9" x14ac:dyDescent="0.25">
      <c r="A77" s="340" t="s">
        <v>2</v>
      </c>
      <c r="B77" s="335"/>
      <c r="C77" s="1" t="s">
        <v>2</v>
      </c>
      <c r="D77" s="1" t="s">
        <v>2</v>
      </c>
      <c r="E77" s="1" t="s">
        <v>2</v>
      </c>
      <c r="F77" s="1" t="s">
        <v>2</v>
      </c>
      <c r="G77" s="1" t="s">
        <v>2</v>
      </c>
      <c r="H77" s="340" t="s">
        <v>2</v>
      </c>
      <c r="I77" s="335"/>
    </row>
    <row r="78" spans="1:9" x14ac:dyDescent="0.25">
      <c r="A78" s="340" t="s">
        <v>2127</v>
      </c>
      <c r="B78" s="335"/>
      <c r="C78" s="1" t="s">
        <v>2</v>
      </c>
    </row>
    <row r="79" spans="1:9" x14ac:dyDescent="0.25">
      <c r="A79" s="341" t="s">
        <v>2128</v>
      </c>
      <c r="B79" s="335"/>
      <c r="C79" s="2" t="s">
        <v>2129</v>
      </c>
      <c r="D79" s="3">
        <v>2301</v>
      </c>
      <c r="E79" s="3">
        <v>410</v>
      </c>
      <c r="F79" s="3">
        <v>0</v>
      </c>
      <c r="G79" s="3">
        <v>0</v>
      </c>
      <c r="H79" s="342">
        <v>0</v>
      </c>
      <c r="I79" s="335"/>
    </row>
    <row r="80" spans="1:9" ht="24" x14ac:dyDescent="0.25">
      <c r="A80" s="341" t="s">
        <v>2130</v>
      </c>
      <c r="B80" s="335"/>
      <c r="C80" s="2" t="s">
        <v>2131</v>
      </c>
      <c r="D80" s="3">
        <v>0</v>
      </c>
      <c r="E80" s="3">
        <v>7000</v>
      </c>
      <c r="F80" s="3">
        <v>7000</v>
      </c>
      <c r="G80" s="3">
        <v>0</v>
      </c>
      <c r="H80" s="342">
        <v>0</v>
      </c>
      <c r="I80" s="335"/>
    </row>
    <row r="81" spans="1:9" ht="24" x14ac:dyDescent="0.25">
      <c r="A81" s="341" t="s">
        <v>2132</v>
      </c>
      <c r="B81" s="335"/>
      <c r="C81" s="2" t="s">
        <v>2133</v>
      </c>
      <c r="D81" s="3">
        <v>0</v>
      </c>
      <c r="E81" s="3">
        <v>0</v>
      </c>
      <c r="F81" s="3">
        <v>13624.45</v>
      </c>
      <c r="G81" s="3">
        <v>0</v>
      </c>
      <c r="H81" s="342">
        <v>0</v>
      </c>
      <c r="I81" s="335"/>
    </row>
    <row r="82" spans="1:9" x14ac:dyDescent="0.25">
      <c r="A82" s="341" t="s">
        <v>2134</v>
      </c>
      <c r="B82" s="335"/>
      <c r="C82" s="2" t="s">
        <v>2117</v>
      </c>
      <c r="D82" s="3">
        <v>5281.17</v>
      </c>
      <c r="E82" s="3">
        <v>1080.92</v>
      </c>
      <c r="F82" s="3">
        <v>0</v>
      </c>
      <c r="G82" s="3">
        <v>0</v>
      </c>
      <c r="H82" s="342">
        <v>0</v>
      </c>
      <c r="I82" s="335"/>
    </row>
    <row r="83" spans="1:9" x14ac:dyDescent="0.25">
      <c r="A83" s="341" t="s">
        <v>2135</v>
      </c>
      <c r="B83" s="335"/>
      <c r="C83" s="2" t="s">
        <v>2136</v>
      </c>
      <c r="D83" s="3">
        <v>0</v>
      </c>
      <c r="E83" s="3">
        <v>0</v>
      </c>
      <c r="F83" s="3">
        <v>0</v>
      </c>
      <c r="G83" s="3">
        <v>0</v>
      </c>
      <c r="H83" s="342">
        <v>0</v>
      </c>
      <c r="I83" s="335"/>
    </row>
    <row r="84" spans="1:9" x14ac:dyDescent="0.25">
      <c r="A84" s="341" t="s">
        <v>2137</v>
      </c>
      <c r="B84" s="335"/>
      <c r="C84" s="2" t="s">
        <v>2138</v>
      </c>
      <c r="D84" s="3">
        <v>0</v>
      </c>
      <c r="E84" s="3">
        <v>0</v>
      </c>
      <c r="F84" s="3">
        <v>0</v>
      </c>
      <c r="G84" s="3">
        <v>0</v>
      </c>
      <c r="H84" s="342">
        <v>0</v>
      </c>
      <c r="I84" s="335"/>
    </row>
    <row r="85" spans="1:9" x14ac:dyDescent="0.25">
      <c r="A85" s="341" t="s">
        <v>2139</v>
      </c>
      <c r="B85" s="335"/>
      <c r="C85" s="2" t="s">
        <v>2140</v>
      </c>
      <c r="D85" s="3">
        <v>0</v>
      </c>
      <c r="E85" s="3">
        <v>0</v>
      </c>
      <c r="F85" s="3">
        <v>0</v>
      </c>
      <c r="G85" s="3">
        <v>0</v>
      </c>
      <c r="H85" s="342">
        <v>0</v>
      </c>
      <c r="I85" s="335"/>
    </row>
    <row r="86" spans="1:9" x14ac:dyDescent="0.25">
      <c r="A86" s="341" t="s">
        <v>2141</v>
      </c>
      <c r="B86" s="335"/>
      <c r="C86" s="2" t="s">
        <v>2142</v>
      </c>
      <c r="D86" s="3">
        <v>0</v>
      </c>
      <c r="E86" s="3">
        <v>0</v>
      </c>
      <c r="F86" s="3">
        <v>0</v>
      </c>
      <c r="G86" s="3">
        <v>0</v>
      </c>
      <c r="H86" s="342">
        <v>0</v>
      </c>
      <c r="I86" s="335"/>
    </row>
    <row r="87" spans="1:9" x14ac:dyDescent="0.25">
      <c r="A87" s="341" t="s">
        <v>2143</v>
      </c>
      <c r="B87" s="335"/>
      <c r="C87" s="2" t="s">
        <v>2144</v>
      </c>
      <c r="D87" s="3">
        <v>0</v>
      </c>
      <c r="E87" s="3">
        <v>0</v>
      </c>
      <c r="F87" s="3">
        <v>0</v>
      </c>
      <c r="G87" s="3">
        <v>0</v>
      </c>
      <c r="H87" s="342">
        <v>0</v>
      </c>
      <c r="I87" s="335"/>
    </row>
    <row r="88" spans="1:9" x14ac:dyDescent="0.25">
      <c r="A88" s="341" t="s">
        <v>2145</v>
      </c>
      <c r="B88" s="335"/>
      <c r="C88" s="2" t="s">
        <v>2146</v>
      </c>
      <c r="D88" s="3">
        <v>0</v>
      </c>
      <c r="E88" s="3">
        <v>0</v>
      </c>
      <c r="F88" s="3">
        <v>174600</v>
      </c>
      <c r="G88" s="3">
        <v>0</v>
      </c>
      <c r="H88" s="342">
        <v>0</v>
      </c>
      <c r="I88" s="335"/>
    </row>
    <row r="89" spans="1:9" x14ac:dyDescent="0.25">
      <c r="A89" s="341" t="s">
        <v>2147</v>
      </c>
      <c r="B89" s="335"/>
      <c r="C89" s="2" t="s">
        <v>2148</v>
      </c>
      <c r="D89" s="3">
        <v>7930</v>
      </c>
      <c r="E89" s="3">
        <v>21190</v>
      </c>
      <c r="F89" s="3">
        <v>14028.28</v>
      </c>
      <c r="G89" s="3">
        <v>0</v>
      </c>
      <c r="H89" s="342">
        <v>0</v>
      </c>
      <c r="I89" s="335"/>
    </row>
    <row r="90" spans="1:9" ht="24" x14ac:dyDescent="0.25">
      <c r="A90" s="341" t="s">
        <v>2149</v>
      </c>
      <c r="B90" s="335"/>
      <c r="C90" s="2" t="s">
        <v>2150</v>
      </c>
      <c r="D90" s="3">
        <v>0</v>
      </c>
      <c r="E90" s="3">
        <v>0</v>
      </c>
      <c r="F90" s="3">
        <v>0</v>
      </c>
      <c r="G90" s="3">
        <v>0</v>
      </c>
      <c r="H90" s="342">
        <v>0</v>
      </c>
      <c r="I90" s="335"/>
    </row>
    <row r="91" spans="1:9" x14ac:dyDescent="0.25">
      <c r="A91" s="341" t="s">
        <v>2151</v>
      </c>
      <c r="B91" s="335"/>
      <c r="C91" s="2" t="s">
        <v>2152</v>
      </c>
      <c r="D91" s="3">
        <v>0</v>
      </c>
      <c r="E91" s="3">
        <v>0</v>
      </c>
      <c r="F91" s="3">
        <v>0</v>
      </c>
      <c r="G91" s="3">
        <v>2115.06</v>
      </c>
      <c r="H91" s="342">
        <v>0</v>
      </c>
      <c r="I91" s="335"/>
    </row>
    <row r="92" spans="1:9" x14ac:dyDescent="0.25">
      <c r="A92" s="341" t="s">
        <v>2153</v>
      </c>
      <c r="B92" s="335"/>
      <c r="C92" s="2" t="s">
        <v>2154</v>
      </c>
      <c r="D92" s="3">
        <v>0</v>
      </c>
      <c r="E92" s="3">
        <v>0</v>
      </c>
      <c r="F92" s="3">
        <v>0</v>
      </c>
      <c r="G92" s="3">
        <v>0</v>
      </c>
      <c r="H92" s="342">
        <v>0</v>
      </c>
      <c r="I92" s="335"/>
    </row>
    <row r="93" spans="1:9" ht="24" x14ac:dyDescent="0.25">
      <c r="A93" s="341" t="s">
        <v>2155</v>
      </c>
      <c r="B93" s="335"/>
      <c r="C93" s="2" t="s">
        <v>2156</v>
      </c>
      <c r="D93" s="3">
        <v>0</v>
      </c>
      <c r="E93" s="3">
        <v>0</v>
      </c>
      <c r="F93" s="3">
        <v>0</v>
      </c>
      <c r="G93" s="3">
        <v>0</v>
      </c>
      <c r="H93" s="342">
        <v>0</v>
      </c>
      <c r="I93" s="335"/>
    </row>
    <row r="94" spans="1:9" x14ac:dyDescent="0.25">
      <c r="A94" s="340" t="s">
        <v>2157</v>
      </c>
      <c r="B94" s="335"/>
      <c r="C94" s="1" t="s">
        <v>2</v>
      </c>
      <c r="D94" s="4">
        <v>15512.17</v>
      </c>
      <c r="E94" s="4">
        <v>29680.92</v>
      </c>
      <c r="F94" s="4">
        <v>209252.73</v>
      </c>
      <c r="G94" s="4">
        <v>2115.06</v>
      </c>
      <c r="H94" s="343">
        <v>0</v>
      </c>
      <c r="I94" s="335"/>
    </row>
    <row r="95" spans="1:9" x14ac:dyDescent="0.25">
      <c r="A95" s="340" t="s">
        <v>2</v>
      </c>
      <c r="B95" s="335"/>
      <c r="C95" s="1" t="s">
        <v>2</v>
      </c>
      <c r="D95" s="1" t="s">
        <v>2</v>
      </c>
      <c r="E95" s="1" t="s">
        <v>2</v>
      </c>
      <c r="F95" s="1" t="s">
        <v>2</v>
      </c>
      <c r="G95" s="1" t="s">
        <v>2</v>
      </c>
      <c r="H95" s="340" t="s">
        <v>2</v>
      </c>
      <c r="I95" s="335"/>
    </row>
    <row r="96" spans="1:9" x14ac:dyDescent="0.25">
      <c r="A96" s="341" t="s">
        <v>2158</v>
      </c>
      <c r="B96" s="335"/>
      <c r="C96" s="2" t="s">
        <v>2159</v>
      </c>
      <c r="D96" s="3">
        <v>0</v>
      </c>
      <c r="E96" s="3">
        <v>0</v>
      </c>
      <c r="F96" s="3">
        <v>60306</v>
      </c>
      <c r="G96" s="3">
        <v>0</v>
      </c>
      <c r="H96" s="342">
        <v>0</v>
      </c>
      <c r="I96" s="335"/>
    </row>
    <row r="97" spans="1:9" x14ac:dyDescent="0.25">
      <c r="A97" s="340" t="s">
        <v>2160</v>
      </c>
      <c r="B97" s="335"/>
      <c r="C97" s="1" t="s">
        <v>2</v>
      </c>
    </row>
    <row r="98" spans="1:9" x14ac:dyDescent="0.25">
      <c r="A98" s="341" t="s">
        <v>2161</v>
      </c>
      <c r="B98" s="335"/>
      <c r="C98" s="2" t="s">
        <v>2162</v>
      </c>
      <c r="D98" s="3">
        <v>0</v>
      </c>
      <c r="E98" s="3">
        <v>0</v>
      </c>
      <c r="F98" s="3">
        <v>0</v>
      </c>
      <c r="G98" s="3">
        <v>0</v>
      </c>
      <c r="H98" s="342">
        <v>0</v>
      </c>
      <c r="I98" s="335"/>
    </row>
    <row r="99" spans="1:9" x14ac:dyDescent="0.25">
      <c r="A99" s="341" t="s">
        <v>2163</v>
      </c>
      <c r="B99" s="335"/>
      <c r="C99" s="2" t="s">
        <v>2164</v>
      </c>
      <c r="D99" s="3">
        <v>23258.3</v>
      </c>
      <c r="E99" s="3">
        <v>24821.14</v>
      </c>
      <c r="F99" s="3">
        <v>31501.34</v>
      </c>
      <c r="G99" s="3">
        <v>30588.27</v>
      </c>
      <c r="H99" s="342">
        <v>0</v>
      </c>
      <c r="I99" s="335"/>
    </row>
    <row r="100" spans="1:9" x14ac:dyDescent="0.25">
      <c r="A100" s="341" t="s">
        <v>2165</v>
      </c>
      <c r="B100" s="335"/>
      <c r="C100" s="2" t="s">
        <v>2166</v>
      </c>
      <c r="D100" s="3">
        <v>1900.56</v>
      </c>
      <c r="E100" s="3">
        <v>2078.4499999999998</v>
      </c>
      <c r="F100" s="3">
        <v>2402.5</v>
      </c>
      <c r="G100" s="3">
        <v>1269.07</v>
      </c>
      <c r="H100" s="342">
        <v>0</v>
      </c>
      <c r="I100" s="335"/>
    </row>
    <row r="101" spans="1:9" x14ac:dyDescent="0.25">
      <c r="A101" s="341" t="s">
        <v>2167</v>
      </c>
      <c r="B101" s="335"/>
      <c r="C101" s="2" t="s">
        <v>2168</v>
      </c>
      <c r="D101" s="3">
        <v>74576.479999999996</v>
      </c>
      <c r="E101" s="3">
        <v>90133.95</v>
      </c>
      <c r="F101" s="3">
        <v>102749.03</v>
      </c>
      <c r="G101" s="3">
        <v>80566.880000000005</v>
      </c>
      <c r="H101" s="342">
        <v>0</v>
      </c>
      <c r="I101" s="335"/>
    </row>
    <row r="102" spans="1:9" x14ac:dyDescent="0.25">
      <c r="A102" s="341" t="s">
        <v>2169</v>
      </c>
      <c r="B102" s="335"/>
      <c r="C102" s="2" t="s">
        <v>2170</v>
      </c>
      <c r="D102" s="3">
        <v>111189.75</v>
      </c>
      <c r="E102" s="3">
        <v>114785.61</v>
      </c>
      <c r="F102" s="3">
        <v>115352.46</v>
      </c>
      <c r="G102" s="3">
        <v>90573.48</v>
      </c>
      <c r="H102" s="342">
        <v>0</v>
      </c>
      <c r="I102" s="335"/>
    </row>
    <row r="103" spans="1:9" x14ac:dyDescent="0.25">
      <c r="A103" s="340" t="s">
        <v>2171</v>
      </c>
      <c r="B103" s="335"/>
      <c r="C103" s="1" t="s">
        <v>2</v>
      </c>
      <c r="D103" s="4">
        <v>210925.09</v>
      </c>
      <c r="E103" s="4">
        <v>231819.15</v>
      </c>
      <c r="F103" s="4">
        <v>252005.33</v>
      </c>
      <c r="G103" s="4">
        <v>202997.7</v>
      </c>
      <c r="H103" s="343">
        <v>0</v>
      </c>
      <c r="I103" s="335"/>
    </row>
    <row r="104" spans="1:9" x14ac:dyDescent="0.25">
      <c r="A104" s="340" t="s">
        <v>2</v>
      </c>
      <c r="B104" s="335"/>
      <c r="C104" s="1" t="s">
        <v>2</v>
      </c>
      <c r="D104" s="1" t="s">
        <v>2</v>
      </c>
      <c r="E104" s="1" t="s">
        <v>2</v>
      </c>
      <c r="F104" s="1" t="s">
        <v>2</v>
      </c>
      <c r="G104" s="1" t="s">
        <v>2</v>
      </c>
      <c r="H104" s="340" t="s">
        <v>2</v>
      </c>
      <c r="I104" s="335"/>
    </row>
    <row r="105" spans="1:9" x14ac:dyDescent="0.25">
      <c r="A105" s="341" t="s">
        <v>2172</v>
      </c>
      <c r="B105" s="335"/>
      <c r="C105" s="2" t="s">
        <v>2173</v>
      </c>
      <c r="D105" s="3">
        <v>0</v>
      </c>
      <c r="E105" s="3">
        <v>0</v>
      </c>
      <c r="F105" s="3">
        <v>0</v>
      </c>
      <c r="G105" s="3">
        <v>15000</v>
      </c>
      <c r="H105" s="342">
        <v>0</v>
      </c>
      <c r="I105" s="335"/>
    </row>
    <row r="106" spans="1:9" x14ac:dyDescent="0.25">
      <c r="A106" s="340" t="s">
        <v>2174</v>
      </c>
      <c r="B106" s="335"/>
      <c r="C106" s="1" t="s">
        <v>2</v>
      </c>
      <c r="D106" s="4">
        <v>289884.58</v>
      </c>
      <c r="E106" s="4">
        <v>816551.28</v>
      </c>
      <c r="F106" s="4">
        <v>580130.62</v>
      </c>
      <c r="G106" s="4">
        <v>263100.45</v>
      </c>
      <c r="H106" s="343">
        <v>0</v>
      </c>
      <c r="I106" s="335"/>
    </row>
    <row r="107" spans="1:9" x14ac:dyDescent="0.25">
      <c r="A107" s="340" t="s">
        <v>2</v>
      </c>
      <c r="B107" s="335"/>
      <c r="C107" s="1" t="s">
        <v>2</v>
      </c>
      <c r="D107" s="1" t="s">
        <v>2</v>
      </c>
      <c r="E107" s="1" t="s">
        <v>2</v>
      </c>
      <c r="F107" s="1" t="s">
        <v>2</v>
      </c>
      <c r="G107" s="1" t="s">
        <v>2</v>
      </c>
      <c r="H107" s="340" t="s">
        <v>2</v>
      </c>
      <c r="I107" s="335"/>
    </row>
    <row r="108" spans="1:9" x14ac:dyDescent="0.25">
      <c r="A108" s="340" t="s">
        <v>2175</v>
      </c>
      <c r="B108" s="335"/>
      <c r="C108" s="1" t="s">
        <v>2</v>
      </c>
    </row>
    <row r="109" spans="1:9" x14ac:dyDescent="0.25">
      <c r="A109" s="340" t="s">
        <v>2176</v>
      </c>
      <c r="B109" s="335"/>
      <c r="C109" s="1" t="s">
        <v>2</v>
      </c>
    </row>
    <row r="110" spans="1:9" x14ac:dyDescent="0.25">
      <c r="A110" s="341" t="s">
        <v>2177</v>
      </c>
      <c r="B110" s="335"/>
      <c r="C110" s="2" t="s">
        <v>2178</v>
      </c>
      <c r="D110" s="3">
        <v>5986.23</v>
      </c>
      <c r="E110" s="3">
        <v>4578.66</v>
      </c>
      <c r="F110" s="3">
        <v>2559.56</v>
      </c>
      <c r="G110" s="3">
        <v>2701.84</v>
      </c>
      <c r="H110" s="342">
        <v>0</v>
      </c>
      <c r="I110" s="335"/>
    </row>
    <row r="111" spans="1:9" x14ac:dyDescent="0.25">
      <c r="A111" s="340" t="s">
        <v>2179</v>
      </c>
      <c r="B111" s="335"/>
      <c r="C111" s="1" t="s">
        <v>2</v>
      </c>
      <c r="D111" s="4">
        <v>5986.23</v>
      </c>
      <c r="E111" s="4">
        <v>4578.66</v>
      </c>
      <c r="F111" s="4">
        <v>2559.56</v>
      </c>
      <c r="G111" s="4">
        <v>2701.84</v>
      </c>
      <c r="H111" s="343">
        <v>0</v>
      </c>
      <c r="I111" s="335"/>
    </row>
    <row r="112" spans="1:9" x14ac:dyDescent="0.25">
      <c r="A112" s="340" t="s">
        <v>2</v>
      </c>
      <c r="B112" s="335"/>
      <c r="C112" s="1" t="s">
        <v>2</v>
      </c>
      <c r="D112" s="1" t="s">
        <v>2</v>
      </c>
      <c r="E112" s="1" t="s">
        <v>2</v>
      </c>
      <c r="F112" s="1" t="s">
        <v>2</v>
      </c>
      <c r="G112" s="1" t="s">
        <v>2</v>
      </c>
      <c r="H112" s="340" t="s">
        <v>2</v>
      </c>
      <c r="I112" s="335"/>
    </row>
    <row r="113" spans="1:9" x14ac:dyDescent="0.25">
      <c r="A113" s="340" t="s">
        <v>2180</v>
      </c>
      <c r="B113" s="335"/>
      <c r="C113" s="1" t="s">
        <v>2</v>
      </c>
      <c r="D113" s="4">
        <v>5986.23</v>
      </c>
      <c r="E113" s="4">
        <v>4578.66</v>
      </c>
      <c r="F113" s="4">
        <v>2559.56</v>
      </c>
      <c r="G113" s="4">
        <v>2701.84</v>
      </c>
      <c r="H113" s="343">
        <v>0</v>
      </c>
      <c r="I113" s="335"/>
    </row>
    <row r="114" spans="1:9" x14ac:dyDescent="0.25">
      <c r="A114" s="340" t="s">
        <v>2</v>
      </c>
      <c r="B114" s="335"/>
      <c r="C114" s="1" t="s">
        <v>2</v>
      </c>
      <c r="D114" s="1" t="s">
        <v>2</v>
      </c>
      <c r="E114" s="1" t="s">
        <v>2</v>
      </c>
      <c r="F114" s="1" t="s">
        <v>2</v>
      </c>
      <c r="G114" s="1" t="s">
        <v>2</v>
      </c>
      <c r="H114" s="340" t="s">
        <v>2</v>
      </c>
      <c r="I114" s="335"/>
    </row>
    <row r="115" spans="1:9" x14ac:dyDescent="0.25">
      <c r="A115" s="340" t="s">
        <v>2047</v>
      </c>
      <c r="B115" s="335"/>
      <c r="C115" s="1" t="s">
        <v>2</v>
      </c>
      <c r="D115" s="4">
        <v>295870.81</v>
      </c>
      <c r="E115" s="4">
        <v>821129.94</v>
      </c>
      <c r="F115" s="4">
        <v>582690.18000000005</v>
      </c>
      <c r="G115" s="4">
        <v>265802.28999999998</v>
      </c>
      <c r="H115" s="343">
        <v>0</v>
      </c>
      <c r="I115" s="335"/>
    </row>
    <row r="116" spans="1:9" x14ac:dyDescent="0.25">
      <c r="A116" s="340" t="s">
        <v>2</v>
      </c>
      <c r="B116" s="335"/>
      <c r="C116" s="1" t="s">
        <v>2</v>
      </c>
      <c r="D116" s="1" t="s">
        <v>2</v>
      </c>
      <c r="E116" s="1" t="s">
        <v>2</v>
      </c>
      <c r="F116" s="1" t="s">
        <v>2</v>
      </c>
      <c r="G116" s="1" t="s">
        <v>2</v>
      </c>
      <c r="H116" s="340" t="s">
        <v>2</v>
      </c>
      <c r="I116" s="335"/>
    </row>
    <row r="117" spans="1:9" x14ac:dyDescent="0.25">
      <c r="A117" s="340" t="s">
        <v>3393</v>
      </c>
      <c r="B117" s="335"/>
      <c r="C117" s="1" t="s">
        <v>2</v>
      </c>
    </row>
    <row r="118" spans="1:9" x14ac:dyDescent="0.25">
      <c r="A118" s="341" t="s">
        <v>2181</v>
      </c>
      <c r="B118" s="335"/>
      <c r="C118" s="2" t="s">
        <v>2182</v>
      </c>
      <c r="D118" s="3">
        <v>0</v>
      </c>
      <c r="E118" s="3">
        <v>10</v>
      </c>
      <c r="F118" s="3">
        <v>0</v>
      </c>
      <c r="G118" s="3">
        <v>34</v>
      </c>
      <c r="H118" s="342">
        <v>0</v>
      </c>
      <c r="I118" s="335"/>
    </row>
    <row r="119" spans="1:9" x14ac:dyDescent="0.25">
      <c r="A119" s="341" t="s">
        <v>2183</v>
      </c>
      <c r="B119" s="335"/>
      <c r="C119" s="2" t="s">
        <v>2184</v>
      </c>
      <c r="D119" s="3">
        <v>0</v>
      </c>
      <c r="E119" s="3">
        <v>0</v>
      </c>
      <c r="F119" s="3">
        <v>0</v>
      </c>
      <c r="G119" s="3">
        <v>0</v>
      </c>
      <c r="H119" s="342">
        <v>0</v>
      </c>
      <c r="I119" s="335"/>
    </row>
    <row r="120" spans="1:9" x14ac:dyDescent="0.25">
      <c r="A120" s="341" t="s">
        <v>2185</v>
      </c>
      <c r="B120" s="335"/>
      <c r="C120" s="2" t="s">
        <v>2186</v>
      </c>
      <c r="D120" s="3">
        <v>0</v>
      </c>
      <c r="E120" s="3">
        <v>0</v>
      </c>
      <c r="F120" s="3">
        <v>0</v>
      </c>
      <c r="G120" s="3">
        <v>450</v>
      </c>
      <c r="H120" s="342">
        <v>0</v>
      </c>
      <c r="I120" s="335"/>
    </row>
    <row r="121" spans="1:9" x14ac:dyDescent="0.25">
      <c r="A121" s="341" t="s">
        <v>2187</v>
      </c>
      <c r="B121" s="335"/>
      <c r="C121" s="2" t="s">
        <v>2188</v>
      </c>
      <c r="D121" s="3">
        <v>0</v>
      </c>
      <c r="E121" s="3">
        <v>0</v>
      </c>
      <c r="F121" s="3">
        <v>0</v>
      </c>
      <c r="G121" s="3">
        <v>0</v>
      </c>
      <c r="H121" s="342">
        <v>0</v>
      </c>
      <c r="I121" s="335"/>
    </row>
    <row r="122" spans="1:9" x14ac:dyDescent="0.25">
      <c r="A122" s="341" t="s">
        <v>2189</v>
      </c>
      <c r="B122" s="335"/>
      <c r="C122" s="2" t="s">
        <v>2190</v>
      </c>
      <c r="D122" s="3">
        <v>7297.7</v>
      </c>
      <c r="E122" s="3">
        <v>4518.93</v>
      </c>
      <c r="F122" s="3">
        <v>2520.4299999999998</v>
      </c>
      <c r="G122" s="3">
        <v>808.13</v>
      </c>
      <c r="H122" s="342">
        <v>0</v>
      </c>
      <c r="I122" s="335"/>
    </row>
    <row r="123" spans="1:9" ht="24" x14ac:dyDescent="0.25">
      <c r="A123" s="341" t="s">
        <v>2191</v>
      </c>
      <c r="B123" s="335"/>
      <c r="C123" s="2" t="s">
        <v>2192</v>
      </c>
      <c r="D123" s="3">
        <v>0</v>
      </c>
      <c r="E123" s="3">
        <v>0</v>
      </c>
      <c r="F123" s="3">
        <v>0</v>
      </c>
      <c r="G123" s="3">
        <v>0</v>
      </c>
      <c r="H123" s="342">
        <v>0</v>
      </c>
      <c r="I123" s="335"/>
    </row>
    <row r="124" spans="1:9" x14ac:dyDescent="0.25">
      <c r="A124" s="341" t="s">
        <v>2193</v>
      </c>
      <c r="B124" s="335"/>
      <c r="C124" s="2" t="s">
        <v>2194</v>
      </c>
      <c r="D124" s="3">
        <v>0</v>
      </c>
      <c r="E124" s="3">
        <v>6.84</v>
      </c>
      <c r="F124" s="3">
        <v>1.27</v>
      </c>
      <c r="G124" s="3">
        <v>0</v>
      </c>
      <c r="H124" s="342">
        <v>0</v>
      </c>
      <c r="I124" s="335"/>
    </row>
    <row r="125" spans="1:9" x14ac:dyDescent="0.25">
      <c r="A125" s="341" t="s">
        <v>2195</v>
      </c>
      <c r="B125" s="335"/>
      <c r="C125" s="2" t="s">
        <v>2196</v>
      </c>
      <c r="D125" s="3">
        <v>1428.8</v>
      </c>
      <c r="E125" s="3">
        <v>1200.2</v>
      </c>
      <c r="F125" s="3">
        <v>1187</v>
      </c>
      <c r="G125" s="3">
        <v>1398.77</v>
      </c>
      <c r="H125" s="342">
        <v>0</v>
      </c>
      <c r="I125" s="335"/>
    </row>
    <row r="126" spans="1:9" x14ac:dyDescent="0.25">
      <c r="A126" s="341" t="s">
        <v>2197</v>
      </c>
      <c r="B126" s="335"/>
      <c r="C126" s="2" t="s">
        <v>2198</v>
      </c>
      <c r="D126" s="3">
        <v>2230</v>
      </c>
      <c r="E126" s="3">
        <v>3220</v>
      </c>
      <c r="F126" s="3">
        <v>0</v>
      </c>
      <c r="G126" s="3">
        <v>150</v>
      </c>
      <c r="H126" s="342">
        <v>0</v>
      </c>
      <c r="I126" s="335"/>
    </row>
    <row r="127" spans="1:9" x14ac:dyDescent="0.25">
      <c r="A127" s="341" t="s">
        <v>2199</v>
      </c>
      <c r="B127" s="335"/>
      <c r="C127" s="2" t="s">
        <v>2200</v>
      </c>
      <c r="D127" s="3">
        <v>524248.59</v>
      </c>
      <c r="E127" s="3">
        <v>432447.83</v>
      </c>
      <c r="F127" s="3">
        <v>523532.55</v>
      </c>
      <c r="G127" s="3">
        <v>432447.83</v>
      </c>
      <c r="H127" s="342">
        <v>0</v>
      </c>
      <c r="I127" s="335"/>
    </row>
    <row r="128" spans="1:9" x14ac:dyDescent="0.25">
      <c r="A128" s="341" t="s">
        <v>2201</v>
      </c>
      <c r="B128" s="335"/>
      <c r="C128" s="2" t="s">
        <v>2202</v>
      </c>
      <c r="D128" s="3">
        <v>0</v>
      </c>
      <c r="E128" s="3">
        <v>0</v>
      </c>
      <c r="F128" s="3">
        <v>0</v>
      </c>
      <c r="G128" s="3">
        <v>0</v>
      </c>
      <c r="H128" s="342">
        <v>0</v>
      </c>
      <c r="I128" s="335"/>
    </row>
    <row r="129" spans="1:9" ht="24" x14ac:dyDescent="0.25">
      <c r="A129" s="341" t="s">
        <v>2203</v>
      </c>
      <c r="B129" s="335"/>
      <c r="C129" s="2" t="s">
        <v>2204</v>
      </c>
      <c r="D129" s="3">
        <v>0</v>
      </c>
      <c r="E129" s="3">
        <v>0</v>
      </c>
      <c r="F129" s="3">
        <v>0</v>
      </c>
      <c r="G129" s="3">
        <v>0</v>
      </c>
      <c r="H129" s="342">
        <v>0</v>
      </c>
      <c r="I129" s="335"/>
    </row>
    <row r="130" spans="1:9" x14ac:dyDescent="0.25">
      <c r="A130" s="341" t="s">
        <v>2205</v>
      </c>
      <c r="B130" s="335"/>
      <c r="C130" s="2" t="s">
        <v>2206</v>
      </c>
      <c r="D130" s="3">
        <v>300</v>
      </c>
      <c r="E130" s="3">
        <v>0</v>
      </c>
      <c r="F130" s="3">
        <v>0</v>
      </c>
      <c r="G130" s="3">
        <v>0</v>
      </c>
      <c r="H130" s="342">
        <v>0</v>
      </c>
      <c r="I130" s="335"/>
    </row>
    <row r="131" spans="1:9" x14ac:dyDescent="0.25">
      <c r="A131" s="341" t="s">
        <v>2207</v>
      </c>
      <c r="B131" s="335"/>
      <c r="C131" s="2" t="s">
        <v>2208</v>
      </c>
      <c r="D131" s="3">
        <v>0</v>
      </c>
      <c r="E131" s="3">
        <v>0</v>
      </c>
      <c r="F131" s="3">
        <v>1.22</v>
      </c>
      <c r="G131" s="3">
        <v>0</v>
      </c>
      <c r="H131" s="342">
        <v>0</v>
      </c>
      <c r="I131" s="335"/>
    </row>
    <row r="132" spans="1:9" x14ac:dyDescent="0.25">
      <c r="A132" s="341" t="s">
        <v>2209</v>
      </c>
      <c r="B132" s="335"/>
      <c r="C132" s="2" t="s">
        <v>2210</v>
      </c>
      <c r="D132" s="3">
        <v>154.5</v>
      </c>
      <c r="E132" s="3">
        <v>15.1</v>
      </c>
      <c r="F132" s="3">
        <v>422.7</v>
      </c>
      <c r="G132" s="3">
        <v>39.299999999999997</v>
      </c>
      <c r="H132" s="342">
        <v>0</v>
      </c>
      <c r="I132" s="335"/>
    </row>
    <row r="133" spans="1:9" x14ac:dyDescent="0.25">
      <c r="A133" s="341" t="s">
        <v>2211</v>
      </c>
      <c r="B133" s="335"/>
      <c r="C133" s="2" t="s">
        <v>2212</v>
      </c>
      <c r="D133" s="3">
        <v>1.25</v>
      </c>
      <c r="E133" s="3">
        <v>0</v>
      </c>
      <c r="F133" s="3">
        <v>33</v>
      </c>
      <c r="G133" s="3">
        <v>25.65</v>
      </c>
      <c r="H133" s="342">
        <v>0</v>
      </c>
      <c r="I133" s="335"/>
    </row>
    <row r="134" spans="1:9" x14ac:dyDescent="0.25">
      <c r="A134" s="341" t="s">
        <v>2213</v>
      </c>
      <c r="B134" s="335"/>
      <c r="C134" s="2" t="s">
        <v>2214</v>
      </c>
      <c r="D134" s="3">
        <v>2114.2199999999998</v>
      </c>
      <c r="E134" s="3">
        <v>0</v>
      </c>
      <c r="F134" s="3">
        <v>485.28</v>
      </c>
      <c r="G134" s="3">
        <v>0</v>
      </c>
      <c r="H134" s="342">
        <v>0</v>
      </c>
      <c r="I134" s="335"/>
    </row>
    <row r="135" spans="1:9" x14ac:dyDescent="0.25">
      <c r="A135" s="341" t="s">
        <v>2215</v>
      </c>
      <c r="B135" s="335"/>
      <c r="C135" s="2" t="s">
        <v>2216</v>
      </c>
      <c r="D135" s="3">
        <v>3188</v>
      </c>
      <c r="E135" s="3">
        <v>795</v>
      </c>
      <c r="F135" s="3">
        <v>552</v>
      </c>
      <c r="G135" s="3">
        <v>488</v>
      </c>
      <c r="H135" s="342">
        <v>0</v>
      </c>
      <c r="I135" s="335"/>
    </row>
    <row r="136" spans="1:9" x14ac:dyDescent="0.25">
      <c r="A136" s="341" t="s">
        <v>2217</v>
      </c>
      <c r="B136" s="335"/>
      <c r="C136" s="2" t="s">
        <v>2218</v>
      </c>
      <c r="D136" s="3">
        <v>149275</v>
      </c>
      <c r="E136" s="3">
        <v>0</v>
      </c>
      <c r="F136" s="3">
        <v>0</v>
      </c>
      <c r="G136" s="3">
        <v>0</v>
      </c>
      <c r="H136" s="342">
        <v>0</v>
      </c>
      <c r="I136" s="335"/>
    </row>
    <row r="137" spans="1:9" x14ac:dyDescent="0.25">
      <c r="A137" s="341" t="s">
        <v>2219</v>
      </c>
      <c r="B137" s="335"/>
      <c r="C137" s="2" t="s">
        <v>2220</v>
      </c>
      <c r="D137" s="3">
        <v>3074.18</v>
      </c>
      <c r="E137" s="3">
        <v>0</v>
      </c>
      <c r="F137" s="3">
        <v>0</v>
      </c>
      <c r="G137" s="3">
        <v>0</v>
      </c>
      <c r="H137" s="342">
        <v>0</v>
      </c>
      <c r="I137" s="335"/>
    </row>
    <row r="138" spans="1:9" x14ac:dyDescent="0.25">
      <c r="A138" s="341" t="s">
        <v>2221</v>
      </c>
      <c r="B138" s="335"/>
      <c r="C138" s="2" t="s">
        <v>2222</v>
      </c>
      <c r="D138" s="3">
        <v>4.16</v>
      </c>
      <c r="E138" s="3">
        <v>3.95</v>
      </c>
      <c r="F138" s="3">
        <v>19.739999999999998</v>
      </c>
      <c r="G138" s="3">
        <v>24.55</v>
      </c>
      <c r="H138" s="342">
        <v>0</v>
      </c>
      <c r="I138" s="335"/>
    </row>
    <row r="139" spans="1:9" x14ac:dyDescent="0.25">
      <c r="A139" s="341" t="s">
        <v>2223</v>
      </c>
      <c r="B139" s="335"/>
      <c r="C139" s="2" t="s">
        <v>2224</v>
      </c>
      <c r="D139" s="3">
        <v>24235.69</v>
      </c>
      <c r="E139" s="3">
        <v>22271.79</v>
      </c>
      <c r="F139" s="3">
        <v>13773.8</v>
      </c>
      <c r="G139" s="3">
        <v>13307.62</v>
      </c>
      <c r="H139" s="342">
        <v>0</v>
      </c>
      <c r="I139" s="335"/>
    </row>
    <row r="140" spans="1:9" x14ac:dyDescent="0.25">
      <c r="A140" s="341" t="s">
        <v>2225</v>
      </c>
      <c r="B140" s="335"/>
      <c r="C140" s="2" t="s">
        <v>2226</v>
      </c>
      <c r="D140" s="3">
        <v>3966.84</v>
      </c>
      <c r="E140" s="3">
        <v>1423.55</v>
      </c>
      <c r="F140" s="3">
        <v>1950.12</v>
      </c>
      <c r="G140" s="3">
        <v>1060.53</v>
      </c>
      <c r="H140" s="342">
        <v>0</v>
      </c>
      <c r="I140" s="335"/>
    </row>
    <row r="141" spans="1:9" x14ac:dyDescent="0.25">
      <c r="A141" s="341" t="s">
        <v>2227</v>
      </c>
      <c r="B141" s="335"/>
      <c r="C141" s="2" t="s">
        <v>2228</v>
      </c>
      <c r="D141" s="3">
        <v>29886.99</v>
      </c>
      <c r="E141" s="3">
        <v>20353.89</v>
      </c>
      <c r="F141" s="3">
        <v>15086.8</v>
      </c>
      <c r="G141" s="3">
        <v>12701.53</v>
      </c>
      <c r="H141" s="342">
        <v>0</v>
      </c>
      <c r="I141" s="335"/>
    </row>
    <row r="142" spans="1:9" x14ac:dyDescent="0.25">
      <c r="A142" s="341" t="s">
        <v>2229</v>
      </c>
      <c r="B142" s="335"/>
      <c r="C142" s="2" t="s">
        <v>2230</v>
      </c>
      <c r="D142" s="3">
        <v>691.63</v>
      </c>
      <c r="E142" s="3">
        <v>4134.93</v>
      </c>
      <c r="F142" s="3">
        <v>1096.29</v>
      </c>
      <c r="G142" s="3">
        <v>219.67</v>
      </c>
      <c r="H142" s="342">
        <v>0</v>
      </c>
      <c r="I142" s="335"/>
    </row>
    <row r="143" spans="1:9" x14ac:dyDescent="0.25">
      <c r="A143" s="341" t="s">
        <v>2231</v>
      </c>
      <c r="B143" s="335"/>
      <c r="C143" s="2" t="s">
        <v>2232</v>
      </c>
      <c r="D143" s="3">
        <v>839.94</v>
      </c>
      <c r="E143" s="3">
        <v>4172.93</v>
      </c>
      <c r="F143" s="3">
        <v>1682.64</v>
      </c>
      <c r="G143" s="3">
        <v>2065.39</v>
      </c>
      <c r="H143" s="342">
        <v>0</v>
      </c>
      <c r="I143" s="335"/>
    </row>
    <row r="144" spans="1:9" x14ac:dyDescent="0.25">
      <c r="A144" s="341" t="s">
        <v>2233</v>
      </c>
      <c r="B144" s="335"/>
      <c r="C144" s="2" t="s">
        <v>2234</v>
      </c>
      <c r="D144" s="3">
        <v>4688.1899999999996</v>
      </c>
      <c r="E144" s="3">
        <v>3255.26</v>
      </c>
      <c r="F144" s="3">
        <v>3503.28</v>
      </c>
      <c r="G144" s="3">
        <v>2191.58</v>
      </c>
      <c r="H144" s="342">
        <v>0</v>
      </c>
      <c r="I144" s="335"/>
    </row>
    <row r="145" spans="1:9" x14ac:dyDescent="0.25">
      <c r="A145" s="341" t="s">
        <v>2235</v>
      </c>
      <c r="B145" s="335"/>
      <c r="C145" s="2" t="s">
        <v>2236</v>
      </c>
      <c r="D145" s="3">
        <v>0</v>
      </c>
      <c r="E145" s="3">
        <v>0</v>
      </c>
      <c r="F145" s="3">
        <v>150</v>
      </c>
      <c r="G145" s="3">
        <v>0</v>
      </c>
      <c r="H145" s="342">
        <v>0</v>
      </c>
      <c r="I145" s="335"/>
    </row>
    <row r="146" spans="1:9" x14ac:dyDescent="0.25">
      <c r="A146" s="341" t="s">
        <v>2237</v>
      </c>
      <c r="B146" s="335"/>
      <c r="C146" s="2" t="s">
        <v>2238</v>
      </c>
      <c r="D146" s="3">
        <v>6400</v>
      </c>
      <c r="E146" s="3">
        <v>9500</v>
      </c>
      <c r="F146" s="3">
        <v>5300</v>
      </c>
      <c r="G146" s="3">
        <v>5500</v>
      </c>
      <c r="H146" s="342">
        <v>0</v>
      </c>
      <c r="I146" s="335"/>
    </row>
    <row r="147" spans="1:9" x14ac:dyDescent="0.25">
      <c r="A147" s="341" t="s">
        <v>2239</v>
      </c>
      <c r="B147" s="335"/>
      <c r="C147" s="2" t="s">
        <v>2240</v>
      </c>
      <c r="D147" s="3">
        <v>0</v>
      </c>
      <c r="E147" s="3">
        <v>0</v>
      </c>
      <c r="F147" s="3">
        <v>0</v>
      </c>
      <c r="G147" s="3">
        <v>0</v>
      </c>
      <c r="H147" s="342">
        <v>0</v>
      </c>
      <c r="I147" s="335"/>
    </row>
    <row r="148" spans="1:9" x14ac:dyDescent="0.25">
      <c r="A148" s="341" t="s">
        <v>2241</v>
      </c>
      <c r="B148" s="335"/>
      <c r="C148" s="2" t="s">
        <v>2242</v>
      </c>
      <c r="D148" s="3">
        <v>41725</v>
      </c>
      <c r="E148" s="3">
        <v>57632</v>
      </c>
      <c r="F148" s="3">
        <v>43267</v>
      </c>
      <c r="G148" s="3">
        <v>15947</v>
      </c>
      <c r="H148" s="342">
        <v>0</v>
      </c>
      <c r="I148" s="335"/>
    </row>
    <row r="149" spans="1:9" x14ac:dyDescent="0.25">
      <c r="A149" s="341" t="s">
        <v>2243</v>
      </c>
      <c r="B149" s="335"/>
      <c r="C149" s="2" t="s">
        <v>2244</v>
      </c>
      <c r="D149" s="3">
        <v>4886.47</v>
      </c>
      <c r="E149" s="3">
        <v>0</v>
      </c>
      <c r="F149" s="3">
        <v>1589.86</v>
      </c>
      <c r="G149" s="3">
        <v>3813</v>
      </c>
      <c r="H149" s="342">
        <v>0</v>
      </c>
      <c r="I149" s="335"/>
    </row>
    <row r="150" spans="1:9" x14ac:dyDescent="0.25">
      <c r="A150" s="341" t="s">
        <v>2245</v>
      </c>
      <c r="B150" s="335"/>
      <c r="C150" s="2" t="s">
        <v>2246</v>
      </c>
      <c r="D150" s="3">
        <v>4388</v>
      </c>
      <c r="E150" s="3">
        <v>3016</v>
      </c>
      <c r="F150" s="3">
        <v>6026</v>
      </c>
      <c r="G150" s="3">
        <v>13368</v>
      </c>
      <c r="H150" s="342">
        <v>0</v>
      </c>
      <c r="I150" s="335"/>
    </row>
    <row r="151" spans="1:9" x14ac:dyDescent="0.25">
      <c r="A151" s="341" t="s">
        <v>2247</v>
      </c>
      <c r="B151" s="335"/>
      <c r="C151" s="2" t="s">
        <v>2248</v>
      </c>
      <c r="D151" s="3">
        <v>3247</v>
      </c>
      <c r="E151" s="3">
        <v>0</v>
      </c>
      <c r="F151" s="3">
        <v>5751.25</v>
      </c>
      <c r="G151" s="3">
        <v>0</v>
      </c>
      <c r="H151" s="342">
        <v>0</v>
      </c>
      <c r="I151" s="335"/>
    </row>
    <row r="152" spans="1:9" ht="24" x14ac:dyDescent="0.25">
      <c r="A152" s="341" t="s">
        <v>2249</v>
      </c>
      <c r="B152" s="335"/>
      <c r="C152" s="2" t="s">
        <v>2250</v>
      </c>
      <c r="D152" s="3">
        <v>1069</v>
      </c>
      <c r="E152" s="3">
        <v>1087</v>
      </c>
      <c r="F152" s="3">
        <v>2220</v>
      </c>
      <c r="G152" s="3">
        <v>0</v>
      </c>
      <c r="H152" s="342">
        <v>0</v>
      </c>
      <c r="I152" s="335"/>
    </row>
    <row r="153" spans="1:9" x14ac:dyDescent="0.25">
      <c r="A153" s="341" t="s">
        <v>2251</v>
      </c>
      <c r="B153" s="335"/>
      <c r="C153" s="2" t="s">
        <v>2252</v>
      </c>
      <c r="D153" s="3">
        <v>3660</v>
      </c>
      <c r="E153" s="3">
        <v>2322</v>
      </c>
      <c r="F153" s="3">
        <v>1975</v>
      </c>
      <c r="G153" s="3">
        <v>420</v>
      </c>
      <c r="H153" s="342">
        <v>0</v>
      </c>
      <c r="I153" s="335"/>
    </row>
    <row r="154" spans="1:9" x14ac:dyDescent="0.25">
      <c r="A154" s="341" t="s">
        <v>2253</v>
      </c>
      <c r="B154" s="335"/>
      <c r="C154" s="2" t="s">
        <v>2254</v>
      </c>
      <c r="D154" s="3">
        <v>6629</v>
      </c>
      <c r="E154" s="3">
        <v>4992</v>
      </c>
      <c r="F154" s="3">
        <v>6420</v>
      </c>
      <c r="G154" s="3">
        <v>4773</v>
      </c>
      <c r="H154" s="342">
        <v>0</v>
      </c>
      <c r="I154" s="335"/>
    </row>
    <row r="155" spans="1:9" x14ac:dyDescent="0.25">
      <c r="A155" s="341" t="s">
        <v>2255</v>
      </c>
      <c r="B155" s="335"/>
      <c r="C155" s="2" t="s">
        <v>2256</v>
      </c>
      <c r="D155" s="3">
        <v>12640</v>
      </c>
      <c r="E155" s="3">
        <v>8844</v>
      </c>
      <c r="F155" s="3">
        <v>9031</v>
      </c>
      <c r="G155" s="3">
        <v>17440</v>
      </c>
      <c r="H155" s="342">
        <v>0</v>
      </c>
      <c r="I155" s="335"/>
    </row>
    <row r="156" spans="1:9" x14ac:dyDescent="0.25">
      <c r="A156" s="341" t="s">
        <v>2257</v>
      </c>
      <c r="B156" s="335"/>
      <c r="C156" s="2" t="s">
        <v>2258</v>
      </c>
      <c r="D156" s="3">
        <v>0</v>
      </c>
      <c r="E156" s="3">
        <v>0</v>
      </c>
      <c r="F156" s="3">
        <v>0</v>
      </c>
      <c r="G156" s="3">
        <v>0</v>
      </c>
      <c r="H156" s="342">
        <v>0</v>
      </c>
      <c r="I156" s="335"/>
    </row>
    <row r="157" spans="1:9" x14ac:dyDescent="0.25">
      <c r="A157" s="341" t="s">
        <v>2259</v>
      </c>
      <c r="B157" s="335"/>
      <c r="C157" s="2" t="s">
        <v>2260</v>
      </c>
      <c r="D157" s="3">
        <v>173018.49</v>
      </c>
      <c r="E157" s="3">
        <v>145951.18</v>
      </c>
      <c r="F157" s="3">
        <v>244185.18</v>
      </c>
      <c r="G157" s="3">
        <v>0</v>
      </c>
      <c r="H157" s="342">
        <v>0</v>
      </c>
      <c r="I157" s="335"/>
    </row>
    <row r="158" spans="1:9" x14ac:dyDescent="0.25">
      <c r="A158" s="341" t="s">
        <v>2261</v>
      </c>
      <c r="B158" s="335"/>
      <c r="C158" s="2" t="s">
        <v>2262</v>
      </c>
      <c r="D158" s="3">
        <v>0</v>
      </c>
      <c r="E158" s="3">
        <v>0</v>
      </c>
      <c r="F158" s="3">
        <v>650</v>
      </c>
      <c r="G158" s="3">
        <v>11</v>
      </c>
      <c r="H158" s="342">
        <v>0</v>
      </c>
      <c r="I158" s="335"/>
    </row>
    <row r="159" spans="1:9" x14ac:dyDescent="0.25">
      <c r="A159" s="341" t="s">
        <v>2263</v>
      </c>
      <c r="B159" s="335"/>
      <c r="C159" s="2" t="s">
        <v>2264</v>
      </c>
      <c r="D159" s="3">
        <v>0</v>
      </c>
      <c r="E159" s="3">
        <v>2491</v>
      </c>
      <c r="F159" s="3">
        <v>0</v>
      </c>
      <c r="G159" s="3">
        <v>2703</v>
      </c>
      <c r="H159" s="342">
        <v>0</v>
      </c>
      <c r="I159" s="335"/>
    </row>
    <row r="160" spans="1:9" x14ac:dyDescent="0.25">
      <c r="A160" s="341" t="s">
        <v>2265</v>
      </c>
      <c r="B160" s="335"/>
      <c r="C160" s="2" t="s">
        <v>2266</v>
      </c>
      <c r="D160" s="3">
        <v>534</v>
      </c>
      <c r="E160" s="3">
        <v>0</v>
      </c>
      <c r="F160" s="3">
        <v>0</v>
      </c>
      <c r="G160" s="3">
        <v>0</v>
      </c>
      <c r="H160" s="342">
        <v>0</v>
      </c>
      <c r="I160" s="335"/>
    </row>
    <row r="161" spans="1:9" x14ac:dyDescent="0.25">
      <c r="A161" s="341" t="s">
        <v>2267</v>
      </c>
      <c r="B161" s="335"/>
      <c r="C161" s="2" t="s">
        <v>2268</v>
      </c>
      <c r="D161" s="3">
        <v>0</v>
      </c>
      <c r="E161" s="3">
        <v>0</v>
      </c>
      <c r="F161" s="3">
        <v>2032.5</v>
      </c>
      <c r="G161" s="3">
        <v>0</v>
      </c>
      <c r="H161" s="342">
        <v>0</v>
      </c>
      <c r="I161" s="335"/>
    </row>
    <row r="162" spans="1:9" x14ac:dyDescent="0.25">
      <c r="A162" s="341" t="s">
        <v>2269</v>
      </c>
      <c r="B162" s="335"/>
      <c r="C162" s="2" t="s">
        <v>2270</v>
      </c>
      <c r="D162" s="3">
        <v>0</v>
      </c>
      <c r="E162" s="3">
        <v>0</v>
      </c>
      <c r="F162" s="3">
        <v>0</v>
      </c>
      <c r="G162" s="3">
        <v>0</v>
      </c>
      <c r="H162" s="342">
        <v>0</v>
      </c>
      <c r="I162" s="335"/>
    </row>
    <row r="163" spans="1:9" x14ac:dyDescent="0.25">
      <c r="A163" s="341" t="s">
        <v>2271</v>
      </c>
      <c r="B163" s="335"/>
      <c r="C163" s="2" t="s">
        <v>2272</v>
      </c>
      <c r="D163" s="3">
        <v>0</v>
      </c>
      <c r="E163" s="3">
        <v>0</v>
      </c>
      <c r="F163" s="3">
        <v>0</v>
      </c>
      <c r="G163" s="3">
        <v>0</v>
      </c>
      <c r="H163" s="342">
        <v>0</v>
      </c>
      <c r="I163" s="335"/>
    </row>
    <row r="164" spans="1:9" ht="24" x14ac:dyDescent="0.25">
      <c r="A164" s="341" t="s">
        <v>2273</v>
      </c>
      <c r="B164" s="335"/>
      <c r="C164" s="2" t="s">
        <v>2274</v>
      </c>
      <c r="D164" s="3">
        <v>0</v>
      </c>
      <c r="E164" s="3">
        <v>7473</v>
      </c>
      <c r="F164" s="3">
        <v>0</v>
      </c>
      <c r="G164" s="3">
        <v>5246</v>
      </c>
      <c r="H164" s="342">
        <v>0</v>
      </c>
      <c r="I164" s="335"/>
    </row>
    <row r="165" spans="1:9" x14ac:dyDescent="0.25">
      <c r="A165" s="341" t="s">
        <v>2275</v>
      </c>
      <c r="B165" s="335"/>
      <c r="C165" s="2" t="s">
        <v>2276</v>
      </c>
      <c r="D165" s="3">
        <v>1872</v>
      </c>
      <c r="E165" s="3">
        <v>0</v>
      </c>
      <c r="F165" s="3">
        <v>17334.5</v>
      </c>
      <c r="G165" s="3">
        <v>0</v>
      </c>
      <c r="H165" s="342">
        <v>0</v>
      </c>
      <c r="I165" s="335"/>
    </row>
    <row r="166" spans="1:9" x14ac:dyDescent="0.25">
      <c r="A166" s="341" t="s">
        <v>2277</v>
      </c>
      <c r="B166" s="335"/>
      <c r="C166" s="2" t="s">
        <v>2278</v>
      </c>
      <c r="D166" s="3">
        <v>0</v>
      </c>
      <c r="E166" s="3">
        <v>0</v>
      </c>
      <c r="F166" s="3">
        <v>0</v>
      </c>
      <c r="G166" s="3">
        <v>0</v>
      </c>
      <c r="H166" s="342">
        <v>0</v>
      </c>
      <c r="I166" s="335"/>
    </row>
    <row r="167" spans="1:9" x14ac:dyDescent="0.25">
      <c r="A167" s="341" t="s">
        <v>2279</v>
      </c>
      <c r="B167" s="335"/>
      <c r="C167" s="2" t="s">
        <v>2280</v>
      </c>
      <c r="D167" s="3">
        <v>0</v>
      </c>
      <c r="E167" s="3">
        <v>0</v>
      </c>
      <c r="F167" s="3">
        <v>0</v>
      </c>
      <c r="G167" s="3">
        <v>0</v>
      </c>
      <c r="H167" s="342">
        <v>0</v>
      </c>
      <c r="I167" s="335"/>
    </row>
    <row r="168" spans="1:9" x14ac:dyDescent="0.25">
      <c r="A168" s="341" t="s">
        <v>2281</v>
      </c>
      <c r="B168" s="335"/>
      <c r="C168" s="2" t="s">
        <v>2282</v>
      </c>
      <c r="D168" s="3">
        <v>0</v>
      </c>
      <c r="E168" s="3">
        <v>0</v>
      </c>
      <c r="F168" s="3">
        <v>0</v>
      </c>
      <c r="G168" s="3">
        <v>0</v>
      </c>
      <c r="H168" s="342">
        <v>0</v>
      </c>
      <c r="I168" s="335"/>
    </row>
    <row r="169" spans="1:9" x14ac:dyDescent="0.25">
      <c r="A169" s="341" t="s">
        <v>2283</v>
      </c>
      <c r="B169" s="335"/>
      <c r="C169" s="2" t="s">
        <v>2284</v>
      </c>
      <c r="D169" s="3">
        <v>272558.99</v>
      </c>
      <c r="E169" s="3">
        <v>281914.21999999997</v>
      </c>
      <c r="F169" s="3">
        <v>692045.27</v>
      </c>
      <c r="G169" s="3">
        <v>91101.1</v>
      </c>
      <c r="H169" s="342">
        <v>0</v>
      </c>
      <c r="I169" s="335"/>
    </row>
    <row r="170" spans="1:9" x14ac:dyDescent="0.25">
      <c r="A170" s="341" t="s">
        <v>2285</v>
      </c>
      <c r="B170" s="335"/>
      <c r="C170" s="2" t="s">
        <v>2286</v>
      </c>
      <c r="D170" s="3">
        <v>0</v>
      </c>
      <c r="E170" s="3">
        <v>0</v>
      </c>
      <c r="F170" s="3">
        <v>0</v>
      </c>
      <c r="G170" s="3">
        <v>0</v>
      </c>
      <c r="H170" s="342">
        <v>0</v>
      </c>
      <c r="I170" s="335"/>
    </row>
    <row r="171" spans="1:9" x14ac:dyDescent="0.25">
      <c r="A171" s="341" t="s">
        <v>2287</v>
      </c>
      <c r="B171" s="335"/>
      <c r="C171" s="2" t="s">
        <v>2288</v>
      </c>
      <c r="D171" s="3">
        <v>0</v>
      </c>
      <c r="E171" s="3">
        <v>0</v>
      </c>
      <c r="F171" s="3">
        <v>0</v>
      </c>
      <c r="G171" s="3">
        <v>0</v>
      </c>
      <c r="H171" s="342">
        <v>0</v>
      </c>
      <c r="I171" s="335"/>
    </row>
    <row r="172" spans="1:9" x14ac:dyDescent="0.25">
      <c r="A172" s="341" t="s">
        <v>2289</v>
      </c>
      <c r="B172" s="335"/>
      <c r="C172" s="2" t="s">
        <v>2290</v>
      </c>
      <c r="D172" s="3">
        <v>8440</v>
      </c>
      <c r="E172" s="3">
        <v>6864</v>
      </c>
      <c r="F172" s="3">
        <v>6132</v>
      </c>
      <c r="G172" s="3">
        <v>12060</v>
      </c>
      <c r="H172" s="342">
        <v>0</v>
      </c>
      <c r="I172" s="335"/>
    </row>
    <row r="173" spans="1:9" ht="24" x14ac:dyDescent="0.25">
      <c r="A173" s="341" t="s">
        <v>2291</v>
      </c>
      <c r="B173" s="335"/>
      <c r="C173" s="2" t="s">
        <v>2292</v>
      </c>
      <c r="D173" s="3">
        <v>0</v>
      </c>
      <c r="E173" s="3">
        <v>0</v>
      </c>
      <c r="F173" s="3">
        <v>0</v>
      </c>
      <c r="G173" s="3">
        <v>0</v>
      </c>
      <c r="H173" s="342">
        <v>0</v>
      </c>
      <c r="I173" s="335"/>
    </row>
    <row r="174" spans="1:9" x14ac:dyDescent="0.25">
      <c r="A174" s="341" t="s">
        <v>2293</v>
      </c>
      <c r="B174" s="335"/>
      <c r="C174" s="2" t="s">
        <v>2294</v>
      </c>
      <c r="D174" s="3">
        <v>6517.75</v>
      </c>
      <c r="E174" s="3">
        <v>7667.25</v>
      </c>
      <c r="F174" s="3">
        <v>9709.75</v>
      </c>
      <c r="G174" s="3">
        <v>10986.5</v>
      </c>
      <c r="H174" s="342">
        <v>0</v>
      </c>
      <c r="I174" s="335"/>
    </row>
    <row r="175" spans="1:9" x14ac:dyDescent="0.25">
      <c r="A175" s="341" t="s">
        <v>2295</v>
      </c>
      <c r="B175" s="335"/>
      <c r="C175" s="2" t="s">
        <v>2296</v>
      </c>
      <c r="D175" s="3">
        <v>600</v>
      </c>
      <c r="E175" s="3">
        <v>1200</v>
      </c>
      <c r="F175" s="3">
        <v>600</v>
      </c>
      <c r="G175" s="3">
        <v>600</v>
      </c>
      <c r="H175" s="342">
        <v>0</v>
      </c>
      <c r="I175" s="335"/>
    </row>
    <row r="176" spans="1:9" x14ac:dyDescent="0.25">
      <c r="A176" s="341" t="s">
        <v>2297</v>
      </c>
      <c r="B176" s="335"/>
      <c r="C176" s="2" t="s">
        <v>2298</v>
      </c>
      <c r="D176" s="3">
        <v>1702.9</v>
      </c>
      <c r="E176" s="3">
        <v>647.5</v>
      </c>
      <c r="F176" s="3">
        <v>350</v>
      </c>
      <c r="G176" s="3">
        <v>317.5</v>
      </c>
      <c r="H176" s="342">
        <v>0</v>
      </c>
      <c r="I176" s="335"/>
    </row>
    <row r="177" spans="1:9" x14ac:dyDescent="0.25">
      <c r="A177" s="341" t="s">
        <v>2299</v>
      </c>
      <c r="B177" s="335"/>
      <c r="C177" s="2" t="s">
        <v>2300</v>
      </c>
      <c r="D177" s="3">
        <v>6190</v>
      </c>
      <c r="E177" s="3">
        <v>6266.94</v>
      </c>
      <c r="F177" s="3">
        <v>6208</v>
      </c>
      <c r="G177" s="3">
        <v>5167.5</v>
      </c>
      <c r="H177" s="342">
        <v>0</v>
      </c>
      <c r="I177" s="335"/>
    </row>
    <row r="178" spans="1:9" x14ac:dyDescent="0.25">
      <c r="A178" s="341" t="s">
        <v>2301</v>
      </c>
      <c r="B178" s="335"/>
      <c r="C178" s="2" t="s">
        <v>2302</v>
      </c>
      <c r="D178" s="3">
        <v>0</v>
      </c>
      <c r="E178" s="3">
        <v>0</v>
      </c>
      <c r="F178" s="3">
        <v>380</v>
      </c>
      <c r="G178" s="3">
        <v>14995</v>
      </c>
      <c r="H178" s="342">
        <v>0</v>
      </c>
      <c r="I178" s="335"/>
    </row>
    <row r="179" spans="1:9" x14ac:dyDescent="0.25">
      <c r="A179" s="341" t="s">
        <v>2303</v>
      </c>
      <c r="B179" s="335"/>
      <c r="C179" s="2" t="s">
        <v>2304</v>
      </c>
      <c r="D179" s="3">
        <v>1322</v>
      </c>
      <c r="E179" s="3">
        <v>0</v>
      </c>
      <c r="F179" s="3">
        <v>794</v>
      </c>
      <c r="G179" s="3">
        <v>1026</v>
      </c>
      <c r="H179" s="342">
        <v>0</v>
      </c>
      <c r="I179" s="335"/>
    </row>
    <row r="180" spans="1:9" x14ac:dyDescent="0.25">
      <c r="A180" s="341" t="s">
        <v>2305</v>
      </c>
      <c r="B180" s="335"/>
      <c r="C180" s="2" t="s">
        <v>2306</v>
      </c>
      <c r="D180" s="3">
        <v>0</v>
      </c>
      <c r="E180" s="3">
        <v>0</v>
      </c>
      <c r="F180" s="3">
        <v>0</v>
      </c>
      <c r="G180" s="3">
        <v>0</v>
      </c>
      <c r="H180" s="342">
        <v>0</v>
      </c>
      <c r="I180" s="335"/>
    </row>
    <row r="181" spans="1:9" ht="24" x14ac:dyDescent="0.25">
      <c r="A181" s="341" t="s">
        <v>2307</v>
      </c>
      <c r="B181" s="335"/>
      <c r="C181" s="2" t="s">
        <v>2308</v>
      </c>
      <c r="D181" s="3">
        <v>0</v>
      </c>
      <c r="E181" s="3">
        <v>0</v>
      </c>
      <c r="F181" s="3">
        <v>0</v>
      </c>
      <c r="G181" s="3">
        <v>0</v>
      </c>
      <c r="H181" s="342">
        <v>0</v>
      </c>
      <c r="I181" s="335"/>
    </row>
    <row r="182" spans="1:9" x14ac:dyDescent="0.25">
      <c r="A182" s="341" t="s">
        <v>2309</v>
      </c>
      <c r="B182" s="335"/>
      <c r="C182" s="2" t="s">
        <v>2310</v>
      </c>
      <c r="D182" s="3">
        <v>12569</v>
      </c>
      <c r="E182" s="3">
        <v>0</v>
      </c>
      <c r="F182" s="3">
        <v>18835</v>
      </c>
      <c r="G182" s="3">
        <v>9789</v>
      </c>
      <c r="H182" s="342">
        <v>0</v>
      </c>
      <c r="I182" s="335"/>
    </row>
    <row r="183" spans="1:9" x14ac:dyDescent="0.25">
      <c r="A183" s="341" t="s">
        <v>2311</v>
      </c>
      <c r="B183" s="335"/>
      <c r="C183" s="2" t="s">
        <v>2312</v>
      </c>
      <c r="D183" s="3">
        <v>1895</v>
      </c>
      <c r="E183" s="3">
        <v>450</v>
      </c>
      <c r="F183" s="3">
        <v>490</v>
      </c>
      <c r="G183" s="3">
        <v>3120</v>
      </c>
      <c r="H183" s="342">
        <v>0</v>
      </c>
      <c r="I183" s="335"/>
    </row>
    <row r="184" spans="1:9" x14ac:dyDescent="0.25">
      <c r="A184" s="341" t="s">
        <v>2313</v>
      </c>
      <c r="B184" s="335"/>
      <c r="C184" s="2" t="s">
        <v>2314</v>
      </c>
      <c r="D184" s="3">
        <v>400</v>
      </c>
      <c r="E184" s="3">
        <v>0</v>
      </c>
      <c r="F184" s="3">
        <v>0</v>
      </c>
      <c r="G184" s="3">
        <v>0</v>
      </c>
      <c r="H184" s="342">
        <v>0</v>
      </c>
      <c r="I184" s="335"/>
    </row>
    <row r="185" spans="1:9" ht="24" x14ac:dyDescent="0.25">
      <c r="A185" s="341" t="s">
        <v>2315</v>
      </c>
      <c r="B185" s="335"/>
      <c r="C185" s="2" t="s">
        <v>2316</v>
      </c>
      <c r="D185" s="3">
        <v>9507.5</v>
      </c>
      <c r="E185" s="3">
        <v>5650</v>
      </c>
      <c r="F185" s="3">
        <v>4750</v>
      </c>
      <c r="G185" s="3">
        <v>2000</v>
      </c>
      <c r="H185" s="342">
        <v>0</v>
      </c>
      <c r="I185" s="335"/>
    </row>
    <row r="186" spans="1:9" x14ac:dyDescent="0.25">
      <c r="A186" s="340" t="s">
        <v>3392</v>
      </c>
      <c r="B186" s="335"/>
      <c r="C186" s="1" t="s">
        <v>2</v>
      </c>
      <c r="D186" s="4">
        <v>1339397.78</v>
      </c>
      <c r="E186" s="4">
        <v>1051798.29</v>
      </c>
      <c r="F186" s="4">
        <v>1652074.43</v>
      </c>
      <c r="G186" s="4">
        <v>687796.15</v>
      </c>
      <c r="H186" s="343">
        <v>0</v>
      </c>
      <c r="I186" s="335"/>
    </row>
    <row r="187" spans="1:9" x14ac:dyDescent="0.25">
      <c r="A187" s="340" t="s">
        <v>2</v>
      </c>
      <c r="B187" s="335"/>
      <c r="C187" s="1" t="s">
        <v>2</v>
      </c>
      <c r="D187" s="1" t="s">
        <v>2</v>
      </c>
      <c r="E187" s="1" t="s">
        <v>2</v>
      </c>
      <c r="F187" s="1" t="s">
        <v>2</v>
      </c>
      <c r="G187" s="1" t="s">
        <v>2</v>
      </c>
      <c r="H187" s="340" t="s">
        <v>2</v>
      </c>
      <c r="I187" s="335"/>
    </row>
    <row r="188" spans="1:9" x14ac:dyDescent="0.25">
      <c r="A188" s="340" t="s">
        <v>2317</v>
      </c>
      <c r="B188" s="335"/>
      <c r="C188" s="1" t="s">
        <v>2</v>
      </c>
    </row>
    <row r="189" spans="1:9" x14ac:dyDescent="0.25">
      <c r="A189" s="341" t="s">
        <v>2318</v>
      </c>
      <c r="B189" s="335"/>
      <c r="C189" s="2" t="s">
        <v>2319</v>
      </c>
      <c r="D189" s="3">
        <v>2041.97</v>
      </c>
      <c r="E189" s="3">
        <v>906.49</v>
      </c>
      <c r="F189" s="3">
        <v>290.64</v>
      </c>
      <c r="G189" s="3">
        <v>171.92</v>
      </c>
      <c r="H189" s="342">
        <v>0</v>
      </c>
      <c r="I189" s="335"/>
    </row>
    <row r="190" spans="1:9" x14ac:dyDescent="0.25">
      <c r="A190" s="341" t="s">
        <v>2320</v>
      </c>
      <c r="B190" s="335"/>
      <c r="C190" s="2" t="s">
        <v>2321</v>
      </c>
      <c r="D190" s="3">
        <v>0</v>
      </c>
      <c r="E190" s="3">
        <v>0</v>
      </c>
      <c r="F190" s="3">
        <v>0</v>
      </c>
      <c r="G190" s="3">
        <v>0</v>
      </c>
      <c r="H190" s="342">
        <v>0</v>
      </c>
      <c r="I190" s="335"/>
    </row>
    <row r="191" spans="1:9" x14ac:dyDescent="0.25">
      <c r="A191" s="341" t="s">
        <v>2322</v>
      </c>
      <c r="B191" s="335"/>
      <c r="C191" s="2" t="s">
        <v>2323</v>
      </c>
      <c r="D191" s="3">
        <v>78.63</v>
      </c>
      <c r="E191" s="3">
        <v>311.87</v>
      </c>
      <c r="F191" s="3">
        <v>50.65</v>
      </c>
      <c r="G191" s="3">
        <v>0</v>
      </c>
      <c r="H191" s="342">
        <v>0</v>
      </c>
      <c r="I191" s="335"/>
    </row>
    <row r="192" spans="1:9" x14ac:dyDescent="0.25">
      <c r="A192" s="341" t="s">
        <v>2324</v>
      </c>
      <c r="B192" s="335"/>
      <c r="C192" s="2" t="s">
        <v>2325</v>
      </c>
      <c r="D192" s="3">
        <v>14015.87</v>
      </c>
      <c r="E192" s="3">
        <v>12467.23</v>
      </c>
      <c r="F192" s="3">
        <v>8420.3799999999992</v>
      </c>
      <c r="G192" s="3">
        <v>2747.82</v>
      </c>
      <c r="H192" s="342">
        <v>0</v>
      </c>
      <c r="I192" s="335"/>
    </row>
    <row r="193" spans="1:9" x14ac:dyDescent="0.25">
      <c r="A193" s="341" t="s">
        <v>2326</v>
      </c>
      <c r="B193" s="335"/>
      <c r="C193" s="2" t="s">
        <v>2327</v>
      </c>
      <c r="D193" s="3">
        <v>8451.51</v>
      </c>
      <c r="E193" s="3">
        <v>3853.38</v>
      </c>
      <c r="F193" s="3">
        <v>2753.02</v>
      </c>
      <c r="G193" s="3">
        <v>1193.68</v>
      </c>
      <c r="H193" s="342">
        <v>0</v>
      </c>
      <c r="I193" s="335"/>
    </row>
    <row r="194" spans="1:9" x14ac:dyDescent="0.25">
      <c r="A194" s="341" t="s">
        <v>2328</v>
      </c>
      <c r="B194" s="335"/>
      <c r="C194" s="2" t="s">
        <v>2329</v>
      </c>
      <c r="D194" s="3">
        <v>91244.1</v>
      </c>
      <c r="E194" s="3">
        <v>55917.62</v>
      </c>
      <c r="F194" s="3">
        <v>46793.77</v>
      </c>
      <c r="G194" s="3">
        <v>18090.099999999999</v>
      </c>
      <c r="H194" s="342">
        <v>0</v>
      </c>
      <c r="I194" s="335"/>
    </row>
    <row r="195" spans="1:9" x14ac:dyDescent="0.25">
      <c r="A195" s="341" t="s">
        <v>2330</v>
      </c>
      <c r="B195" s="335"/>
      <c r="C195" s="2" t="s">
        <v>2331</v>
      </c>
      <c r="D195" s="3">
        <v>5.49</v>
      </c>
      <c r="E195" s="3">
        <v>0</v>
      </c>
      <c r="F195" s="3">
        <v>8.01</v>
      </c>
      <c r="G195" s="3">
        <v>0</v>
      </c>
      <c r="H195" s="342">
        <v>0</v>
      </c>
      <c r="I195" s="335"/>
    </row>
    <row r="196" spans="1:9" x14ac:dyDescent="0.25">
      <c r="A196" s="341" t="s">
        <v>2332</v>
      </c>
      <c r="B196" s="335"/>
      <c r="C196" s="2" t="s">
        <v>2333</v>
      </c>
      <c r="D196" s="3">
        <v>26.5</v>
      </c>
      <c r="E196" s="3">
        <v>0</v>
      </c>
      <c r="F196" s="3">
        <v>0</v>
      </c>
      <c r="G196" s="3">
        <v>0</v>
      </c>
      <c r="H196" s="342">
        <v>0</v>
      </c>
      <c r="I196" s="335"/>
    </row>
    <row r="197" spans="1:9" x14ac:dyDescent="0.25">
      <c r="A197" s="341" t="s">
        <v>2334</v>
      </c>
      <c r="B197" s="335"/>
      <c r="C197" s="2" t="s">
        <v>2335</v>
      </c>
      <c r="D197" s="3">
        <v>0</v>
      </c>
      <c r="E197" s="3">
        <v>87.7</v>
      </c>
      <c r="F197" s="3">
        <v>0</v>
      </c>
      <c r="G197" s="3">
        <v>0</v>
      </c>
      <c r="H197" s="342">
        <v>0</v>
      </c>
      <c r="I197" s="335"/>
    </row>
    <row r="198" spans="1:9" x14ac:dyDescent="0.25">
      <c r="A198" s="341" t="s">
        <v>2336</v>
      </c>
      <c r="B198" s="335"/>
      <c r="C198" s="2" t="s">
        <v>2337</v>
      </c>
      <c r="D198" s="3">
        <v>4463</v>
      </c>
      <c r="E198" s="3">
        <v>7029.12</v>
      </c>
      <c r="F198" s="3">
        <v>4306.88</v>
      </c>
      <c r="G198" s="3">
        <v>3564</v>
      </c>
      <c r="H198" s="342">
        <v>0</v>
      </c>
      <c r="I198" s="335"/>
    </row>
    <row r="199" spans="1:9" x14ac:dyDescent="0.25">
      <c r="A199" s="341" t="s">
        <v>2338</v>
      </c>
      <c r="B199" s="335"/>
      <c r="C199" s="2" t="s">
        <v>2339</v>
      </c>
      <c r="D199" s="3">
        <v>0</v>
      </c>
      <c r="E199" s="3">
        <v>0</v>
      </c>
      <c r="F199" s="3">
        <v>0</v>
      </c>
      <c r="G199" s="3">
        <v>0</v>
      </c>
      <c r="H199" s="342">
        <v>0</v>
      </c>
      <c r="I199" s="335"/>
    </row>
    <row r="200" spans="1:9" x14ac:dyDescent="0.25">
      <c r="A200" s="341" t="s">
        <v>2340</v>
      </c>
      <c r="B200" s="335"/>
      <c r="C200" s="2" t="s">
        <v>2339</v>
      </c>
      <c r="D200" s="3">
        <v>27.9</v>
      </c>
      <c r="E200" s="3">
        <v>0</v>
      </c>
      <c r="F200" s="3">
        <v>0</v>
      </c>
      <c r="G200" s="3">
        <v>0</v>
      </c>
      <c r="H200" s="342">
        <v>0</v>
      </c>
      <c r="I200" s="335"/>
    </row>
    <row r="201" spans="1:9" x14ac:dyDescent="0.25">
      <c r="A201" s="341" t="s">
        <v>2341</v>
      </c>
      <c r="B201" s="335"/>
      <c r="C201" s="2" t="s">
        <v>2342</v>
      </c>
      <c r="D201" s="3">
        <v>437.54</v>
      </c>
      <c r="E201" s="3">
        <v>8.09</v>
      </c>
      <c r="F201" s="3">
        <v>106.89</v>
      </c>
      <c r="G201" s="3">
        <v>1.65</v>
      </c>
      <c r="H201" s="342">
        <v>0</v>
      </c>
      <c r="I201" s="335"/>
    </row>
    <row r="202" spans="1:9" x14ac:dyDescent="0.25">
      <c r="A202" s="341" t="s">
        <v>2343</v>
      </c>
      <c r="B202" s="335"/>
      <c r="C202" s="2" t="s">
        <v>2344</v>
      </c>
      <c r="D202" s="3">
        <v>101</v>
      </c>
      <c r="E202" s="3">
        <v>50</v>
      </c>
      <c r="F202" s="3">
        <v>0</v>
      </c>
      <c r="G202" s="3">
        <v>0</v>
      </c>
      <c r="H202" s="342">
        <v>0</v>
      </c>
      <c r="I202" s="335"/>
    </row>
    <row r="203" spans="1:9" x14ac:dyDescent="0.25">
      <c r="A203" s="341" t="s">
        <v>2345</v>
      </c>
      <c r="B203" s="335"/>
      <c r="C203" s="2" t="s">
        <v>2346</v>
      </c>
      <c r="D203" s="3">
        <v>406.66</v>
      </c>
      <c r="E203" s="3">
        <v>250.02</v>
      </c>
      <c r="F203" s="3">
        <v>250.02</v>
      </c>
      <c r="G203" s="3">
        <v>250.02</v>
      </c>
      <c r="H203" s="342">
        <v>0</v>
      </c>
      <c r="I203" s="335"/>
    </row>
    <row r="204" spans="1:9" x14ac:dyDescent="0.25">
      <c r="A204" s="341" t="s">
        <v>2347</v>
      </c>
      <c r="B204" s="335"/>
      <c r="C204" s="2" t="s">
        <v>2348</v>
      </c>
      <c r="D204" s="3">
        <v>3887.22</v>
      </c>
      <c r="E204" s="3">
        <v>4057.69</v>
      </c>
      <c r="F204" s="3">
        <v>1554.65</v>
      </c>
      <c r="G204" s="3">
        <v>1925.83</v>
      </c>
      <c r="H204" s="342">
        <v>0</v>
      </c>
      <c r="I204" s="335"/>
    </row>
    <row r="205" spans="1:9" x14ac:dyDescent="0.25">
      <c r="A205" s="341" t="s">
        <v>2349</v>
      </c>
      <c r="B205" s="335"/>
      <c r="C205" s="2" t="s">
        <v>2350</v>
      </c>
      <c r="D205" s="3">
        <v>90.98</v>
      </c>
      <c r="E205" s="3">
        <v>89.71</v>
      </c>
      <c r="F205" s="3">
        <v>108.38</v>
      </c>
      <c r="G205" s="3">
        <v>166.99</v>
      </c>
      <c r="H205" s="342">
        <v>0</v>
      </c>
      <c r="I205" s="335"/>
    </row>
    <row r="206" spans="1:9" x14ac:dyDescent="0.25">
      <c r="A206" s="341" t="s">
        <v>2351</v>
      </c>
      <c r="B206" s="335"/>
      <c r="C206" s="2" t="s">
        <v>2352</v>
      </c>
      <c r="D206" s="3">
        <v>430.9</v>
      </c>
      <c r="E206" s="3">
        <v>212.68</v>
      </c>
      <c r="F206" s="3">
        <v>182.35</v>
      </c>
      <c r="G206" s="3">
        <v>204.55</v>
      </c>
      <c r="H206" s="342">
        <v>0</v>
      </c>
      <c r="I206" s="335"/>
    </row>
    <row r="207" spans="1:9" x14ac:dyDescent="0.25">
      <c r="A207" s="341" t="s">
        <v>2353</v>
      </c>
      <c r="B207" s="335"/>
      <c r="C207" s="2" t="s">
        <v>2354</v>
      </c>
      <c r="D207" s="3">
        <v>37763.58</v>
      </c>
      <c r="E207" s="3">
        <v>26563.8</v>
      </c>
      <c r="F207" s="3">
        <v>31272.7</v>
      </c>
      <c r="G207" s="3">
        <v>19748.330000000002</v>
      </c>
      <c r="H207" s="342">
        <v>0</v>
      </c>
      <c r="I207" s="335"/>
    </row>
    <row r="208" spans="1:9" x14ac:dyDescent="0.25">
      <c r="A208" s="341" t="s">
        <v>2355</v>
      </c>
      <c r="B208" s="335"/>
      <c r="C208" s="2" t="s">
        <v>2356</v>
      </c>
      <c r="D208" s="3">
        <v>1887.1</v>
      </c>
      <c r="E208" s="3">
        <v>1519.55</v>
      </c>
      <c r="F208" s="3">
        <v>1710.26</v>
      </c>
      <c r="G208" s="3">
        <v>883.92</v>
      </c>
      <c r="H208" s="342">
        <v>0</v>
      </c>
      <c r="I208" s="335"/>
    </row>
    <row r="209" spans="1:9" x14ac:dyDescent="0.25">
      <c r="A209" s="341" t="s">
        <v>2357</v>
      </c>
      <c r="B209" s="335"/>
      <c r="C209" s="2" t="s">
        <v>2358</v>
      </c>
      <c r="D209" s="3">
        <v>0</v>
      </c>
      <c r="E209" s="3">
        <v>0</v>
      </c>
      <c r="F209" s="3">
        <v>0</v>
      </c>
      <c r="G209" s="3">
        <v>0</v>
      </c>
      <c r="H209" s="342">
        <v>0</v>
      </c>
      <c r="I209" s="335"/>
    </row>
    <row r="210" spans="1:9" x14ac:dyDescent="0.25">
      <c r="A210" s="341" t="s">
        <v>2359</v>
      </c>
      <c r="B210" s="335"/>
      <c r="C210" s="2" t="s">
        <v>2360</v>
      </c>
      <c r="D210" s="3">
        <v>12058.94</v>
      </c>
      <c r="E210" s="3">
        <v>8598.4</v>
      </c>
      <c r="F210" s="3">
        <v>8126.97</v>
      </c>
      <c r="G210" s="3">
        <v>4206.43</v>
      </c>
      <c r="H210" s="342">
        <v>0</v>
      </c>
      <c r="I210" s="335"/>
    </row>
    <row r="211" spans="1:9" x14ac:dyDescent="0.25">
      <c r="A211" s="341" t="s">
        <v>2361</v>
      </c>
      <c r="B211" s="335"/>
      <c r="C211" s="2" t="s">
        <v>2362</v>
      </c>
      <c r="D211" s="3">
        <v>457.16</v>
      </c>
      <c r="E211" s="3">
        <v>312.87</v>
      </c>
      <c r="F211" s="3">
        <v>365.29</v>
      </c>
      <c r="G211" s="3">
        <v>108.17</v>
      </c>
      <c r="H211" s="342">
        <v>0</v>
      </c>
      <c r="I211" s="335"/>
    </row>
    <row r="212" spans="1:9" x14ac:dyDescent="0.25">
      <c r="A212" s="341" t="s">
        <v>2363</v>
      </c>
      <c r="B212" s="335"/>
      <c r="C212" s="2" t="s">
        <v>2364</v>
      </c>
      <c r="D212" s="3">
        <v>390.49</v>
      </c>
      <c r="E212" s="3">
        <v>458.78</v>
      </c>
      <c r="F212" s="3">
        <v>268.13</v>
      </c>
      <c r="G212" s="3">
        <v>233.26</v>
      </c>
      <c r="H212" s="342">
        <v>0</v>
      </c>
      <c r="I212" s="335"/>
    </row>
    <row r="213" spans="1:9" x14ac:dyDescent="0.25">
      <c r="A213" s="341" t="s">
        <v>2365</v>
      </c>
      <c r="B213" s="335"/>
      <c r="C213" s="2" t="s">
        <v>2366</v>
      </c>
      <c r="D213" s="3">
        <v>0</v>
      </c>
      <c r="E213" s="3">
        <v>0</v>
      </c>
      <c r="F213" s="3">
        <v>0</v>
      </c>
      <c r="G213" s="3">
        <v>0</v>
      </c>
      <c r="H213" s="342">
        <v>0</v>
      </c>
      <c r="I213" s="335"/>
    </row>
    <row r="214" spans="1:9" x14ac:dyDescent="0.25">
      <c r="A214" s="341" t="s">
        <v>2367</v>
      </c>
      <c r="B214" s="335"/>
      <c r="C214" s="2" t="s">
        <v>2368</v>
      </c>
      <c r="D214" s="3">
        <v>24.92</v>
      </c>
      <c r="E214" s="3">
        <v>13.17</v>
      </c>
      <c r="F214" s="3">
        <v>12.36</v>
      </c>
      <c r="G214" s="3">
        <v>0</v>
      </c>
      <c r="H214" s="342">
        <v>0</v>
      </c>
      <c r="I214" s="335"/>
    </row>
    <row r="215" spans="1:9" x14ac:dyDescent="0.25">
      <c r="A215" s="341" t="s">
        <v>2369</v>
      </c>
      <c r="B215" s="335"/>
      <c r="C215" s="2" t="s">
        <v>2370</v>
      </c>
      <c r="D215" s="3">
        <v>13288.15</v>
      </c>
      <c r="E215" s="3">
        <v>8166.54</v>
      </c>
      <c r="F215" s="3">
        <v>9895.59</v>
      </c>
      <c r="G215" s="3">
        <v>5824.78</v>
      </c>
      <c r="H215" s="342">
        <v>0</v>
      </c>
      <c r="I215" s="335"/>
    </row>
    <row r="216" spans="1:9" x14ac:dyDescent="0.25">
      <c r="A216" s="341" t="s">
        <v>2371</v>
      </c>
      <c r="B216" s="335"/>
      <c r="C216" s="2" t="s">
        <v>2372</v>
      </c>
      <c r="D216" s="3">
        <v>-272.76</v>
      </c>
      <c r="E216" s="3">
        <v>195.84</v>
      </c>
      <c r="F216" s="3">
        <v>0</v>
      </c>
      <c r="G216" s="3">
        <v>0</v>
      </c>
      <c r="H216" s="342">
        <v>0</v>
      </c>
      <c r="I216" s="335"/>
    </row>
    <row r="217" spans="1:9" x14ac:dyDescent="0.25">
      <c r="A217" s="341" t="s">
        <v>2373</v>
      </c>
      <c r="B217" s="335"/>
      <c r="C217" s="2" t="s">
        <v>2374</v>
      </c>
      <c r="D217" s="3">
        <v>1.1100000000000001</v>
      </c>
      <c r="E217" s="3">
        <v>0</v>
      </c>
      <c r="F217" s="3">
        <v>0</v>
      </c>
      <c r="G217" s="3">
        <v>0</v>
      </c>
      <c r="H217" s="342">
        <v>0</v>
      </c>
      <c r="I217" s="335"/>
    </row>
    <row r="218" spans="1:9" x14ac:dyDescent="0.25">
      <c r="A218" s="341" t="s">
        <v>2375</v>
      </c>
      <c r="B218" s="335"/>
      <c r="C218" s="2" t="s">
        <v>2376</v>
      </c>
      <c r="D218" s="3">
        <v>112.33</v>
      </c>
      <c r="E218" s="3">
        <v>103.24</v>
      </c>
      <c r="F218" s="3">
        <v>129.6</v>
      </c>
      <c r="G218" s="3">
        <v>-106.3</v>
      </c>
      <c r="H218" s="342">
        <v>0</v>
      </c>
      <c r="I218" s="335"/>
    </row>
    <row r="219" spans="1:9" x14ac:dyDescent="0.25">
      <c r="A219" s="341" t="s">
        <v>2377</v>
      </c>
      <c r="B219" s="335"/>
      <c r="C219" s="2" t="s">
        <v>2378</v>
      </c>
      <c r="D219" s="3">
        <v>288.47000000000003</v>
      </c>
      <c r="E219" s="3">
        <v>177.04</v>
      </c>
      <c r="F219" s="3">
        <v>131.53</v>
      </c>
      <c r="G219" s="3">
        <v>54.22</v>
      </c>
      <c r="H219" s="342">
        <v>0</v>
      </c>
      <c r="I219" s="335"/>
    </row>
    <row r="220" spans="1:9" x14ac:dyDescent="0.25">
      <c r="A220" s="341" t="s">
        <v>2379</v>
      </c>
      <c r="B220" s="335"/>
      <c r="C220" s="2" t="s">
        <v>2380</v>
      </c>
      <c r="D220" s="3">
        <v>475.26</v>
      </c>
      <c r="E220" s="3">
        <v>412.55</v>
      </c>
      <c r="F220" s="3">
        <v>278.8</v>
      </c>
      <c r="G220" s="3">
        <v>104.5</v>
      </c>
      <c r="H220" s="342">
        <v>0</v>
      </c>
      <c r="I220" s="335"/>
    </row>
    <row r="221" spans="1:9" x14ac:dyDescent="0.25">
      <c r="A221" s="341" t="s">
        <v>2381</v>
      </c>
      <c r="B221" s="335"/>
      <c r="C221" s="2" t="s">
        <v>2382</v>
      </c>
      <c r="D221" s="3">
        <v>10662.33</v>
      </c>
      <c r="E221" s="3">
        <v>1821.12</v>
      </c>
      <c r="F221" s="3">
        <v>804</v>
      </c>
      <c r="G221" s="3">
        <v>244.35</v>
      </c>
      <c r="H221" s="342">
        <v>0</v>
      </c>
      <c r="I221" s="335"/>
    </row>
    <row r="222" spans="1:9" x14ac:dyDescent="0.25">
      <c r="A222" s="341" t="s">
        <v>2383</v>
      </c>
      <c r="B222" s="335"/>
      <c r="C222" s="2" t="s">
        <v>2384</v>
      </c>
      <c r="D222" s="3">
        <v>0</v>
      </c>
      <c r="E222" s="3">
        <v>4.5</v>
      </c>
      <c r="F222" s="3">
        <v>0</v>
      </c>
      <c r="G222" s="3">
        <v>0</v>
      </c>
      <c r="H222" s="342">
        <v>0</v>
      </c>
      <c r="I222" s="335"/>
    </row>
    <row r="223" spans="1:9" x14ac:dyDescent="0.25">
      <c r="A223" s="341" t="s">
        <v>2385</v>
      </c>
      <c r="B223" s="335"/>
      <c r="C223" s="2" t="s">
        <v>2386</v>
      </c>
      <c r="D223" s="3">
        <v>53.39</v>
      </c>
      <c r="E223" s="3">
        <v>2.95</v>
      </c>
      <c r="F223" s="3">
        <v>12.16</v>
      </c>
      <c r="G223" s="3">
        <v>10.68</v>
      </c>
      <c r="H223" s="342">
        <v>0</v>
      </c>
      <c r="I223" s="335"/>
    </row>
    <row r="224" spans="1:9" x14ac:dyDescent="0.25">
      <c r="A224" s="341" t="s">
        <v>2387</v>
      </c>
      <c r="B224" s="335"/>
      <c r="C224" s="2" t="s">
        <v>2388</v>
      </c>
      <c r="D224" s="3">
        <v>840.9</v>
      </c>
      <c r="E224" s="3">
        <v>76.98</v>
      </c>
      <c r="F224" s="3">
        <v>663.39</v>
      </c>
      <c r="G224" s="3">
        <v>260.01</v>
      </c>
      <c r="H224" s="342">
        <v>0</v>
      </c>
      <c r="I224" s="335"/>
    </row>
    <row r="225" spans="1:9" x14ac:dyDescent="0.25">
      <c r="A225" s="341" t="s">
        <v>2389</v>
      </c>
      <c r="B225" s="335"/>
      <c r="C225" s="2" t="s">
        <v>2390</v>
      </c>
      <c r="D225" s="3">
        <v>0</v>
      </c>
      <c r="E225" s="3">
        <v>0</v>
      </c>
      <c r="F225" s="3">
        <v>0</v>
      </c>
      <c r="G225" s="3">
        <v>123.61</v>
      </c>
      <c r="H225" s="342">
        <v>0</v>
      </c>
      <c r="I225" s="335"/>
    </row>
    <row r="226" spans="1:9" x14ac:dyDescent="0.25">
      <c r="A226" s="341" t="s">
        <v>2391</v>
      </c>
      <c r="B226" s="335"/>
      <c r="C226" s="2" t="s">
        <v>2392</v>
      </c>
      <c r="D226" s="3">
        <v>2741</v>
      </c>
      <c r="E226" s="3">
        <v>0</v>
      </c>
      <c r="F226" s="3">
        <v>0</v>
      </c>
      <c r="G226" s="3">
        <v>0</v>
      </c>
      <c r="H226" s="342">
        <v>0</v>
      </c>
      <c r="I226" s="335"/>
    </row>
    <row r="227" spans="1:9" x14ac:dyDescent="0.25">
      <c r="A227" s="341" t="s">
        <v>2393</v>
      </c>
      <c r="B227" s="335"/>
      <c r="C227" s="2" t="s">
        <v>2394</v>
      </c>
      <c r="D227" s="3">
        <v>0</v>
      </c>
      <c r="E227" s="3">
        <v>0</v>
      </c>
      <c r="F227" s="3">
        <v>59.61</v>
      </c>
      <c r="G227" s="3">
        <v>0</v>
      </c>
      <c r="H227" s="342">
        <v>0</v>
      </c>
      <c r="I227" s="335"/>
    </row>
    <row r="228" spans="1:9" x14ac:dyDescent="0.25">
      <c r="A228" s="341" t="s">
        <v>2395</v>
      </c>
      <c r="B228" s="335"/>
      <c r="C228" s="2" t="s">
        <v>2396</v>
      </c>
      <c r="D228" s="3">
        <v>928</v>
      </c>
      <c r="E228" s="3">
        <v>647</v>
      </c>
      <c r="F228" s="3">
        <v>248</v>
      </c>
      <c r="G228" s="3">
        <v>640</v>
      </c>
      <c r="H228" s="342">
        <v>0</v>
      </c>
      <c r="I228" s="335"/>
    </row>
    <row r="229" spans="1:9" x14ac:dyDescent="0.25">
      <c r="A229" s="341" t="s">
        <v>2397</v>
      </c>
      <c r="B229" s="335"/>
      <c r="C229" s="2" t="s">
        <v>2398</v>
      </c>
      <c r="D229" s="3">
        <v>871.52</v>
      </c>
      <c r="E229" s="3">
        <v>0</v>
      </c>
      <c r="F229" s="3">
        <v>1151.8900000000001</v>
      </c>
      <c r="G229" s="3">
        <v>68.84</v>
      </c>
      <c r="H229" s="342">
        <v>0</v>
      </c>
      <c r="I229" s="335"/>
    </row>
    <row r="230" spans="1:9" x14ac:dyDescent="0.25">
      <c r="A230" s="341" t="s">
        <v>3391</v>
      </c>
      <c r="B230" s="335"/>
      <c r="C230" s="2" t="s">
        <v>2327</v>
      </c>
      <c r="D230" s="3">
        <v>15.1</v>
      </c>
      <c r="E230" s="3">
        <v>0</v>
      </c>
      <c r="F230" s="3">
        <v>0</v>
      </c>
      <c r="G230" s="3">
        <v>0</v>
      </c>
      <c r="H230" s="342">
        <v>0</v>
      </c>
      <c r="I230" s="335"/>
    </row>
    <row r="231" spans="1:9" x14ac:dyDescent="0.25">
      <c r="A231" s="341" t="s">
        <v>3390</v>
      </c>
      <c r="B231" s="335"/>
      <c r="C231" s="2" t="s">
        <v>2390</v>
      </c>
      <c r="D231" s="3">
        <v>0</v>
      </c>
      <c r="E231" s="3">
        <v>0</v>
      </c>
      <c r="F231" s="3">
        <v>0</v>
      </c>
      <c r="G231" s="3">
        <v>0</v>
      </c>
      <c r="H231" s="342">
        <v>0</v>
      </c>
      <c r="I231" s="335"/>
    </row>
    <row r="232" spans="1:9" x14ac:dyDescent="0.25">
      <c r="A232" s="340" t="s">
        <v>3389</v>
      </c>
      <c r="B232" s="335"/>
      <c r="C232" s="1" t="s">
        <v>2</v>
      </c>
      <c r="D232" s="4">
        <v>208296.26</v>
      </c>
      <c r="E232" s="4">
        <v>134315.93</v>
      </c>
      <c r="F232" s="4">
        <v>119955.92</v>
      </c>
      <c r="G232" s="4">
        <v>60721.36</v>
      </c>
      <c r="H232" s="343">
        <v>0</v>
      </c>
      <c r="I232" s="335"/>
    </row>
    <row r="233" spans="1:9" x14ac:dyDescent="0.25">
      <c r="A233" s="340" t="s">
        <v>2</v>
      </c>
      <c r="B233" s="335"/>
      <c r="C233" s="1" t="s">
        <v>2</v>
      </c>
      <c r="D233" s="1" t="s">
        <v>2</v>
      </c>
      <c r="E233" s="1" t="s">
        <v>2</v>
      </c>
      <c r="F233" s="1" t="s">
        <v>2</v>
      </c>
      <c r="G233" s="1" t="s">
        <v>2</v>
      </c>
      <c r="H233" s="340" t="s">
        <v>2</v>
      </c>
      <c r="I233" s="335"/>
    </row>
    <row r="234" spans="1:9" x14ac:dyDescent="0.25">
      <c r="A234" s="340" t="s">
        <v>2399</v>
      </c>
      <c r="B234" s="335"/>
      <c r="C234" s="1" t="s">
        <v>2</v>
      </c>
    </row>
    <row r="235" spans="1:9" x14ac:dyDescent="0.25">
      <c r="A235" s="341" t="s">
        <v>2400</v>
      </c>
      <c r="B235" s="335"/>
      <c r="C235" s="2" t="s">
        <v>2401</v>
      </c>
      <c r="D235" s="3">
        <v>0</v>
      </c>
      <c r="E235" s="3">
        <v>4251.45</v>
      </c>
      <c r="F235" s="3">
        <v>7859.7</v>
      </c>
      <c r="G235" s="3">
        <v>5961.22</v>
      </c>
      <c r="H235" s="342">
        <v>0</v>
      </c>
      <c r="I235" s="335"/>
    </row>
    <row r="236" spans="1:9" x14ac:dyDescent="0.25">
      <c r="A236" s="341" t="s">
        <v>2402</v>
      </c>
      <c r="B236" s="335"/>
      <c r="C236" s="2" t="s">
        <v>2403</v>
      </c>
      <c r="D236" s="3">
        <v>625</v>
      </c>
      <c r="E236" s="3">
        <v>0</v>
      </c>
      <c r="F236" s="3">
        <v>0</v>
      </c>
      <c r="G236" s="3">
        <v>0</v>
      </c>
      <c r="H236" s="342">
        <v>0</v>
      </c>
      <c r="I236" s="335"/>
    </row>
    <row r="237" spans="1:9" x14ac:dyDescent="0.25">
      <c r="A237" s="341" t="s">
        <v>2404</v>
      </c>
      <c r="B237" s="335"/>
      <c r="C237" s="2" t="s">
        <v>2405</v>
      </c>
      <c r="D237" s="3">
        <v>0</v>
      </c>
      <c r="E237" s="3">
        <v>0</v>
      </c>
      <c r="F237" s="3">
        <v>0</v>
      </c>
      <c r="G237" s="3">
        <v>0</v>
      </c>
      <c r="H237" s="342">
        <v>0</v>
      </c>
      <c r="I237" s="335"/>
    </row>
    <row r="238" spans="1:9" x14ac:dyDescent="0.25">
      <c r="A238" s="341" t="s">
        <v>2406</v>
      </c>
      <c r="B238" s="335"/>
      <c r="C238" s="2" t="s">
        <v>2407</v>
      </c>
      <c r="D238" s="3">
        <v>0</v>
      </c>
      <c r="E238" s="3">
        <v>0</v>
      </c>
      <c r="F238" s="3">
        <v>0</v>
      </c>
      <c r="G238" s="3">
        <v>0</v>
      </c>
      <c r="H238" s="342">
        <v>0</v>
      </c>
      <c r="I238" s="335"/>
    </row>
    <row r="239" spans="1:9" x14ac:dyDescent="0.25">
      <c r="A239" s="341" t="s">
        <v>2408</v>
      </c>
      <c r="B239" s="335"/>
      <c r="C239" s="2" t="s">
        <v>2409</v>
      </c>
      <c r="D239" s="3">
        <v>57221.75</v>
      </c>
      <c r="E239" s="3">
        <v>20422.849999999999</v>
      </c>
      <c r="F239" s="3">
        <v>3498.35</v>
      </c>
      <c r="G239" s="3">
        <v>10425.959999999999</v>
      </c>
      <c r="H239" s="342">
        <v>0</v>
      </c>
      <c r="I239" s="335"/>
    </row>
    <row r="240" spans="1:9" x14ac:dyDescent="0.25">
      <c r="A240" s="341" t="s">
        <v>2410</v>
      </c>
      <c r="B240" s="335"/>
      <c r="C240" s="2" t="s">
        <v>2411</v>
      </c>
      <c r="D240" s="3">
        <v>0</v>
      </c>
      <c r="E240" s="3">
        <v>0</v>
      </c>
      <c r="F240" s="3">
        <v>25</v>
      </c>
      <c r="G240" s="3">
        <v>0</v>
      </c>
      <c r="H240" s="342">
        <v>0</v>
      </c>
      <c r="I240" s="335"/>
    </row>
    <row r="241" spans="1:9" x14ac:dyDescent="0.25">
      <c r="A241" s="341" t="s">
        <v>2412</v>
      </c>
      <c r="B241" s="335"/>
      <c r="C241" s="2" t="s">
        <v>2413</v>
      </c>
      <c r="D241" s="3">
        <v>9576.35</v>
      </c>
      <c r="E241" s="3">
        <v>9668.49</v>
      </c>
      <c r="F241" s="3">
        <v>6847.18</v>
      </c>
      <c r="G241" s="3">
        <v>3260.19</v>
      </c>
      <c r="H241" s="342">
        <v>0</v>
      </c>
      <c r="I241" s="335"/>
    </row>
    <row r="242" spans="1:9" x14ac:dyDescent="0.25">
      <c r="A242" s="341" t="s">
        <v>2414</v>
      </c>
      <c r="B242" s="335"/>
      <c r="C242" s="2" t="s">
        <v>2413</v>
      </c>
      <c r="D242" s="3">
        <v>9576.35</v>
      </c>
      <c r="E242" s="3">
        <v>9668.49</v>
      </c>
      <c r="F242" s="3">
        <v>6847.18</v>
      </c>
      <c r="G242" s="3">
        <v>3260.19</v>
      </c>
      <c r="H242" s="342">
        <v>0</v>
      </c>
      <c r="I242" s="335"/>
    </row>
    <row r="243" spans="1:9" x14ac:dyDescent="0.25">
      <c r="A243" s="341" t="s">
        <v>2415</v>
      </c>
      <c r="B243" s="335"/>
      <c r="C243" s="2" t="s">
        <v>2416</v>
      </c>
      <c r="D243" s="3">
        <v>0</v>
      </c>
      <c r="E243" s="3">
        <v>1535.49</v>
      </c>
      <c r="F243" s="3">
        <v>6141.96</v>
      </c>
      <c r="G243" s="3">
        <v>3582.81</v>
      </c>
      <c r="H243" s="342">
        <v>0</v>
      </c>
      <c r="I243" s="335"/>
    </row>
    <row r="244" spans="1:9" x14ac:dyDescent="0.25">
      <c r="A244" s="341" t="s">
        <v>2417</v>
      </c>
      <c r="B244" s="335"/>
      <c r="C244" s="2" t="s">
        <v>2418</v>
      </c>
      <c r="D244" s="3">
        <v>12</v>
      </c>
      <c r="E244" s="3">
        <v>12</v>
      </c>
      <c r="F244" s="3">
        <v>29</v>
      </c>
      <c r="G244" s="3">
        <v>12</v>
      </c>
      <c r="H244" s="342">
        <v>0</v>
      </c>
      <c r="I244" s="335"/>
    </row>
    <row r="245" spans="1:9" x14ac:dyDescent="0.25">
      <c r="A245" s="341" t="s">
        <v>2419</v>
      </c>
      <c r="B245" s="335"/>
      <c r="C245" s="2" t="s">
        <v>2420</v>
      </c>
      <c r="D245" s="3">
        <v>0</v>
      </c>
      <c r="E245" s="3">
        <v>0</v>
      </c>
      <c r="F245" s="3">
        <v>0</v>
      </c>
      <c r="G245" s="3">
        <v>0</v>
      </c>
      <c r="H245" s="342">
        <v>0</v>
      </c>
      <c r="I245" s="335"/>
    </row>
    <row r="246" spans="1:9" x14ac:dyDescent="0.25">
      <c r="A246" s="341" t="s">
        <v>2421</v>
      </c>
      <c r="B246" s="335"/>
      <c r="C246" s="2" t="s">
        <v>2422</v>
      </c>
      <c r="D246" s="3">
        <v>0</v>
      </c>
      <c r="E246" s="3">
        <v>18296.03</v>
      </c>
      <c r="F246" s="3">
        <v>0</v>
      </c>
      <c r="G246" s="3">
        <v>0</v>
      </c>
      <c r="H246" s="342">
        <v>0</v>
      </c>
      <c r="I246" s="335"/>
    </row>
    <row r="247" spans="1:9" x14ac:dyDescent="0.25">
      <c r="A247" s="341" t="s">
        <v>2423</v>
      </c>
      <c r="B247" s="335"/>
      <c r="C247" s="2" t="s">
        <v>2424</v>
      </c>
      <c r="D247" s="3">
        <v>250</v>
      </c>
      <c r="E247" s="3">
        <v>5800</v>
      </c>
      <c r="F247" s="3">
        <v>6100</v>
      </c>
      <c r="G247" s="3">
        <v>0</v>
      </c>
      <c r="H247" s="342">
        <v>0</v>
      </c>
      <c r="I247" s="335"/>
    </row>
    <row r="248" spans="1:9" x14ac:dyDescent="0.25">
      <c r="A248" s="341" t="s">
        <v>2425</v>
      </c>
      <c r="B248" s="335"/>
      <c r="C248" s="2" t="s">
        <v>2426</v>
      </c>
      <c r="D248" s="3">
        <v>0</v>
      </c>
      <c r="E248" s="3">
        <v>200</v>
      </c>
      <c r="F248" s="3">
        <v>6158.38</v>
      </c>
      <c r="G248" s="3">
        <v>6000</v>
      </c>
      <c r="H248" s="342">
        <v>0</v>
      </c>
      <c r="I248" s="335"/>
    </row>
    <row r="249" spans="1:9" ht="24" x14ac:dyDescent="0.25">
      <c r="A249" s="341" t="s">
        <v>2427</v>
      </c>
      <c r="B249" s="335"/>
      <c r="C249" s="2" t="s">
        <v>2428</v>
      </c>
      <c r="D249" s="3">
        <v>0</v>
      </c>
      <c r="E249" s="3">
        <v>7498.4</v>
      </c>
      <c r="F249" s="3">
        <v>0</v>
      </c>
      <c r="G249" s="3">
        <v>0</v>
      </c>
      <c r="H249" s="342">
        <v>0</v>
      </c>
      <c r="I249" s="335"/>
    </row>
    <row r="250" spans="1:9" x14ac:dyDescent="0.25">
      <c r="A250" s="341" t="s">
        <v>2429</v>
      </c>
      <c r="B250" s="335"/>
      <c r="C250" s="2" t="s">
        <v>2430</v>
      </c>
      <c r="D250" s="3">
        <v>0</v>
      </c>
      <c r="E250" s="3">
        <v>0</v>
      </c>
      <c r="F250" s="3">
        <v>0</v>
      </c>
      <c r="G250" s="3">
        <v>0</v>
      </c>
      <c r="H250" s="342">
        <v>0</v>
      </c>
      <c r="I250" s="335"/>
    </row>
    <row r="251" spans="1:9" x14ac:dyDescent="0.25">
      <c r="A251" s="341" t="s">
        <v>2431</v>
      </c>
      <c r="B251" s="335"/>
      <c r="C251" s="2" t="s">
        <v>2432</v>
      </c>
      <c r="D251" s="3">
        <v>0</v>
      </c>
      <c r="E251" s="3">
        <v>0</v>
      </c>
      <c r="F251" s="3">
        <v>0</v>
      </c>
      <c r="G251" s="3">
        <v>0</v>
      </c>
      <c r="H251" s="342">
        <v>0</v>
      </c>
      <c r="I251" s="335"/>
    </row>
    <row r="252" spans="1:9" ht="24" x14ac:dyDescent="0.25">
      <c r="A252" s="341" t="s">
        <v>2433</v>
      </c>
      <c r="B252" s="335"/>
      <c r="C252" s="2" t="s">
        <v>2434</v>
      </c>
      <c r="D252" s="3">
        <v>42185</v>
      </c>
      <c r="E252" s="3">
        <v>45444.19</v>
      </c>
      <c r="F252" s="3">
        <v>51533.42</v>
      </c>
      <c r="G252" s="3">
        <v>47950.97</v>
      </c>
      <c r="H252" s="342">
        <v>0</v>
      </c>
      <c r="I252" s="335"/>
    </row>
    <row r="253" spans="1:9" ht="24" x14ac:dyDescent="0.25">
      <c r="A253" s="341" t="s">
        <v>2435</v>
      </c>
      <c r="B253" s="335"/>
      <c r="C253" s="2" t="s">
        <v>2436</v>
      </c>
      <c r="D253" s="3">
        <v>1520</v>
      </c>
      <c r="E253" s="3">
        <v>0</v>
      </c>
      <c r="F253" s="3">
        <v>0</v>
      </c>
      <c r="G253" s="3">
        <v>0</v>
      </c>
      <c r="H253" s="342">
        <v>0</v>
      </c>
      <c r="I253" s="335"/>
    </row>
    <row r="254" spans="1:9" ht="48" x14ac:dyDescent="0.25">
      <c r="A254" s="341" t="s">
        <v>2437</v>
      </c>
      <c r="B254" s="335"/>
      <c r="C254" s="2" t="s">
        <v>2438</v>
      </c>
      <c r="D254" s="3">
        <v>0</v>
      </c>
      <c r="E254" s="3">
        <v>0</v>
      </c>
      <c r="F254" s="3">
        <v>0</v>
      </c>
      <c r="G254" s="3">
        <v>0</v>
      </c>
      <c r="H254" s="342">
        <v>0</v>
      </c>
      <c r="I254" s="335"/>
    </row>
    <row r="255" spans="1:9" x14ac:dyDescent="0.25">
      <c r="A255" s="341" t="s">
        <v>2439</v>
      </c>
      <c r="B255" s="335"/>
      <c r="C255" s="2" t="s">
        <v>2440</v>
      </c>
      <c r="D255" s="3">
        <v>157.30000000000001</v>
      </c>
      <c r="E255" s="3">
        <v>309.39999999999998</v>
      </c>
      <c r="F255" s="3">
        <v>5</v>
      </c>
      <c r="G255" s="3">
        <v>124</v>
      </c>
      <c r="H255" s="342">
        <v>0</v>
      </c>
      <c r="I255" s="335"/>
    </row>
    <row r="256" spans="1:9" x14ac:dyDescent="0.25">
      <c r="A256" s="341" t="s">
        <v>2441</v>
      </c>
      <c r="B256" s="335"/>
      <c r="C256" s="2" t="s">
        <v>2442</v>
      </c>
      <c r="D256" s="3">
        <v>0</v>
      </c>
      <c r="E256" s="3">
        <v>0</v>
      </c>
      <c r="F256" s="3">
        <v>202</v>
      </c>
      <c r="G256" s="3">
        <v>3312.96</v>
      </c>
      <c r="H256" s="342">
        <v>0</v>
      </c>
      <c r="I256" s="335"/>
    </row>
    <row r="257" spans="1:9" ht="36" x14ac:dyDescent="0.25">
      <c r="A257" s="341" t="s">
        <v>2443</v>
      </c>
      <c r="B257" s="335"/>
      <c r="C257" s="2" t="s">
        <v>2444</v>
      </c>
      <c r="D257" s="3">
        <v>0</v>
      </c>
      <c r="E257" s="3">
        <v>4552.58</v>
      </c>
      <c r="F257" s="3">
        <v>3764.44</v>
      </c>
      <c r="G257" s="3">
        <v>0</v>
      </c>
      <c r="H257" s="342">
        <v>0</v>
      </c>
      <c r="I257" s="335"/>
    </row>
    <row r="258" spans="1:9" x14ac:dyDescent="0.25">
      <c r="A258" s="341" t="s">
        <v>2445</v>
      </c>
      <c r="B258" s="335"/>
      <c r="C258" s="2" t="s">
        <v>2446</v>
      </c>
      <c r="D258" s="3">
        <v>0</v>
      </c>
      <c r="E258" s="3">
        <v>394</v>
      </c>
      <c r="F258" s="3">
        <v>0</v>
      </c>
      <c r="G258" s="3">
        <v>509.74</v>
      </c>
      <c r="H258" s="342">
        <v>0</v>
      </c>
      <c r="I258" s="335"/>
    </row>
    <row r="259" spans="1:9" x14ac:dyDescent="0.25">
      <c r="A259" s="341" t="s">
        <v>2447</v>
      </c>
      <c r="B259" s="335"/>
      <c r="C259" s="2" t="s">
        <v>2448</v>
      </c>
      <c r="D259" s="3">
        <v>0</v>
      </c>
      <c r="E259" s="3">
        <v>0</v>
      </c>
      <c r="F259" s="3">
        <v>13.24</v>
      </c>
      <c r="G259" s="3">
        <v>0</v>
      </c>
      <c r="H259" s="342">
        <v>0</v>
      </c>
      <c r="I259" s="335"/>
    </row>
    <row r="260" spans="1:9" ht="24" x14ac:dyDescent="0.25">
      <c r="A260" s="341" t="s">
        <v>2449</v>
      </c>
      <c r="B260" s="335"/>
      <c r="C260" s="2" t="s">
        <v>2450</v>
      </c>
      <c r="D260" s="3">
        <v>341</v>
      </c>
      <c r="E260" s="3">
        <v>10</v>
      </c>
      <c r="F260" s="3">
        <v>0</v>
      </c>
      <c r="G260" s="3">
        <v>0</v>
      </c>
      <c r="H260" s="342">
        <v>0</v>
      </c>
      <c r="I260" s="335"/>
    </row>
    <row r="261" spans="1:9" x14ac:dyDescent="0.25">
      <c r="A261" s="341" t="s">
        <v>2451</v>
      </c>
      <c r="B261" s="335"/>
      <c r="C261" s="2" t="s">
        <v>2452</v>
      </c>
      <c r="D261" s="3">
        <v>0</v>
      </c>
      <c r="E261" s="3">
        <v>0</v>
      </c>
      <c r="F261" s="3">
        <v>0</v>
      </c>
      <c r="G261" s="3">
        <v>0</v>
      </c>
      <c r="H261" s="342">
        <v>0</v>
      </c>
      <c r="I261" s="335"/>
    </row>
    <row r="262" spans="1:9" x14ac:dyDescent="0.25">
      <c r="A262" s="341" t="s">
        <v>2453</v>
      </c>
      <c r="B262" s="335"/>
      <c r="C262" s="2" t="s">
        <v>2454</v>
      </c>
      <c r="D262" s="3">
        <v>12.76</v>
      </c>
      <c r="E262" s="3">
        <v>0.1</v>
      </c>
      <c r="F262" s="3">
        <v>0.5</v>
      </c>
      <c r="G262" s="3">
        <v>2.4700000000000002</v>
      </c>
      <c r="H262" s="342">
        <v>0</v>
      </c>
      <c r="I262" s="335"/>
    </row>
    <row r="263" spans="1:9" x14ac:dyDescent="0.25">
      <c r="A263" s="341" t="s">
        <v>2455</v>
      </c>
      <c r="B263" s="335"/>
      <c r="C263" s="2" t="s">
        <v>2456</v>
      </c>
      <c r="D263" s="3">
        <v>0</v>
      </c>
      <c r="E263" s="3">
        <v>0</v>
      </c>
      <c r="F263" s="3">
        <v>0</v>
      </c>
      <c r="G263" s="3">
        <v>0</v>
      </c>
      <c r="H263" s="342">
        <v>0</v>
      </c>
      <c r="I263" s="335"/>
    </row>
    <row r="264" spans="1:9" x14ac:dyDescent="0.25">
      <c r="A264" s="341" t="s">
        <v>2457</v>
      </c>
      <c r="B264" s="335"/>
      <c r="C264" s="2" t="s">
        <v>2458</v>
      </c>
      <c r="D264" s="3">
        <v>592.01</v>
      </c>
      <c r="E264" s="3">
        <v>2973.3</v>
      </c>
      <c r="F264" s="3">
        <v>2411.52</v>
      </c>
      <c r="G264" s="3">
        <v>10394.14</v>
      </c>
      <c r="H264" s="342">
        <v>0</v>
      </c>
      <c r="I264" s="335"/>
    </row>
    <row r="265" spans="1:9" x14ac:dyDescent="0.25">
      <c r="A265" s="341" t="s">
        <v>2459</v>
      </c>
      <c r="B265" s="335"/>
      <c r="C265" s="2" t="s">
        <v>2460</v>
      </c>
      <c r="D265" s="3">
        <v>0</v>
      </c>
      <c r="E265" s="3">
        <v>0</v>
      </c>
      <c r="F265" s="3">
        <v>0</v>
      </c>
      <c r="G265" s="3">
        <v>0</v>
      </c>
      <c r="H265" s="342">
        <v>0</v>
      </c>
      <c r="I265" s="335"/>
    </row>
    <row r="266" spans="1:9" x14ac:dyDescent="0.25">
      <c r="A266" s="341" t="s">
        <v>2461</v>
      </c>
      <c r="B266" s="335"/>
      <c r="C266" s="2" t="s">
        <v>2398</v>
      </c>
      <c r="D266" s="3">
        <v>0</v>
      </c>
      <c r="E266" s="3">
        <v>0</v>
      </c>
      <c r="F266" s="3">
        <v>0</v>
      </c>
      <c r="G266" s="3">
        <v>0</v>
      </c>
      <c r="H266" s="342">
        <v>0</v>
      </c>
      <c r="I266" s="335"/>
    </row>
    <row r="267" spans="1:9" x14ac:dyDescent="0.25">
      <c r="A267" s="341" t="s">
        <v>2462</v>
      </c>
      <c r="B267" s="335"/>
      <c r="C267" s="2" t="s">
        <v>2463</v>
      </c>
      <c r="D267" s="3">
        <v>1760.95</v>
      </c>
      <c r="E267" s="3">
        <v>0</v>
      </c>
      <c r="F267" s="3">
        <v>0</v>
      </c>
      <c r="G267" s="3">
        <v>0</v>
      </c>
      <c r="H267" s="342">
        <v>0</v>
      </c>
      <c r="I267" s="335"/>
    </row>
    <row r="268" spans="1:9" ht="24" x14ac:dyDescent="0.25">
      <c r="A268" s="341" t="s">
        <v>2464</v>
      </c>
      <c r="B268" s="335"/>
      <c r="C268" s="2" t="s">
        <v>2465</v>
      </c>
      <c r="D268" s="3">
        <v>13372.21</v>
      </c>
      <c r="E268" s="3">
        <v>198</v>
      </c>
      <c r="F268" s="3">
        <v>0</v>
      </c>
      <c r="G268" s="3">
        <v>0</v>
      </c>
      <c r="H268" s="342">
        <v>0</v>
      </c>
      <c r="I268" s="335"/>
    </row>
    <row r="269" spans="1:9" ht="36" x14ac:dyDescent="0.25">
      <c r="A269" s="341" t="s">
        <v>2466</v>
      </c>
      <c r="B269" s="335"/>
      <c r="C269" s="2" t="s">
        <v>2467</v>
      </c>
      <c r="D269" s="3">
        <v>0</v>
      </c>
      <c r="E269" s="3">
        <v>0</v>
      </c>
      <c r="F269" s="3">
        <v>0</v>
      </c>
      <c r="G269" s="3">
        <v>0</v>
      </c>
      <c r="H269" s="342">
        <v>0</v>
      </c>
      <c r="I269" s="335"/>
    </row>
    <row r="270" spans="1:9" x14ac:dyDescent="0.25">
      <c r="A270" s="341" t="s">
        <v>2468</v>
      </c>
      <c r="B270" s="335"/>
      <c r="C270" s="2" t="s">
        <v>2469</v>
      </c>
      <c r="D270" s="3">
        <v>0</v>
      </c>
      <c r="E270" s="3">
        <v>0</v>
      </c>
      <c r="F270" s="3">
        <v>0</v>
      </c>
      <c r="G270" s="3">
        <v>0</v>
      </c>
      <c r="H270" s="342">
        <v>0</v>
      </c>
      <c r="I270" s="335"/>
    </row>
    <row r="271" spans="1:9" x14ac:dyDescent="0.25">
      <c r="A271" s="341" t="s">
        <v>2470</v>
      </c>
      <c r="B271" s="335"/>
      <c r="C271" s="2" t="s">
        <v>2471</v>
      </c>
      <c r="D271" s="3">
        <v>0</v>
      </c>
      <c r="E271" s="3">
        <v>0</v>
      </c>
      <c r="F271" s="3">
        <v>0</v>
      </c>
      <c r="G271" s="3">
        <v>0</v>
      </c>
      <c r="H271" s="342">
        <v>0</v>
      </c>
      <c r="I271" s="335"/>
    </row>
    <row r="272" spans="1:9" x14ac:dyDescent="0.25">
      <c r="A272" s="341" t="s">
        <v>2472</v>
      </c>
      <c r="B272" s="335"/>
      <c r="C272" s="2" t="s">
        <v>2473</v>
      </c>
      <c r="D272" s="3">
        <v>1188</v>
      </c>
      <c r="E272" s="3">
        <v>1188</v>
      </c>
      <c r="F272" s="3">
        <v>792</v>
      </c>
      <c r="G272" s="3">
        <v>1294</v>
      </c>
      <c r="H272" s="342">
        <v>0</v>
      </c>
      <c r="I272" s="335"/>
    </row>
    <row r="273" spans="1:9" x14ac:dyDescent="0.25">
      <c r="A273" s="341" t="s">
        <v>2474</v>
      </c>
      <c r="B273" s="335"/>
      <c r="C273" s="2" t="s">
        <v>2475</v>
      </c>
      <c r="D273" s="3">
        <v>0</v>
      </c>
      <c r="E273" s="3">
        <v>0</v>
      </c>
      <c r="F273" s="3">
        <v>66</v>
      </c>
      <c r="G273" s="3">
        <v>0</v>
      </c>
      <c r="H273" s="342">
        <v>0</v>
      </c>
      <c r="I273" s="335"/>
    </row>
    <row r="274" spans="1:9" ht="36" x14ac:dyDescent="0.25">
      <c r="A274" s="341" t="s">
        <v>2476</v>
      </c>
      <c r="B274" s="335"/>
      <c r="C274" s="2" t="s">
        <v>2477</v>
      </c>
      <c r="D274" s="3">
        <v>0</v>
      </c>
      <c r="E274" s="3">
        <v>0</v>
      </c>
      <c r="F274" s="3">
        <v>0</v>
      </c>
      <c r="G274" s="3">
        <v>0</v>
      </c>
      <c r="H274" s="342">
        <v>0</v>
      </c>
      <c r="I274" s="335"/>
    </row>
    <row r="275" spans="1:9" x14ac:dyDescent="0.25">
      <c r="A275" s="341" t="s">
        <v>2478</v>
      </c>
      <c r="B275" s="335"/>
      <c r="C275" s="2" t="s">
        <v>2479</v>
      </c>
      <c r="D275" s="3">
        <v>0</v>
      </c>
      <c r="E275" s="3">
        <v>0</v>
      </c>
      <c r="F275" s="3">
        <v>0</v>
      </c>
      <c r="G275" s="3">
        <v>0</v>
      </c>
      <c r="H275" s="342">
        <v>0</v>
      </c>
      <c r="I275" s="335"/>
    </row>
    <row r="276" spans="1:9" x14ac:dyDescent="0.25">
      <c r="A276" s="341" t="s">
        <v>2480</v>
      </c>
      <c r="B276" s="335"/>
      <c r="C276" s="2" t="s">
        <v>2481</v>
      </c>
      <c r="D276" s="3">
        <v>0</v>
      </c>
      <c r="E276" s="3">
        <v>0</v>
      </c>
      <c r="F276" s="3">
        <v>0</v>
      </c>
      <c r="G276" s="3">
        <v>0</v>
      </c>
      <c r="H276" s="342">
        <v>0</v>
      </c>
      <c r="I276" s="335"/>
    </row>
    <row r="277" spans="1:9" x14ac:dyDescent="0.25">
      <c r="A277" s="341" t="s">
        <v>2482</v>
      </c>
      <c r="B277" s="335"/>
      <c r="C277" s="2" t="s">
        <v>2483</v>
      </c>
      <c r="D277" s="3">
        <v>0</v>
      </c>
      <c r="E277" s="3">
        <v>0</v>
      </c>
      <c r="F277" s="3">
        <v>0</v>
      </c>
      <c r="G277" s="3">
        <v>0</v>
      </c>
      <c r="H277" s="342">
        <v>0</v>
      </c>
      <c r="I277" s="335"/>
    </row>
    <row r="278" spans="1:9" ht="24" x14ac:dyDescent="0.25">
      <c r="A278" s="341" t="s">
        <v>2484</v>
      </c>
      <c r="B278" s="335"/>
      <c r="C278" s="2" t="s">
        <v>2485</v>
      </c>
      <c r="D278" s="3">
        <v>0</v>
      </c>
      <c r="E278" s="3">
        <v>0</v>
      </c>
      <c r="F278" s="3">
        <v>0</v>
      </c>
      <c r="G278" s="3">
        <v>0</v>
      </c>
      <c r="H278" s="342">
        <v>0</v>
      </c>
      <c r="I278" s="335"/>
    </row>
    <row r="279" spans="1:9" x14ac:dyDescent="0.25">
      <c r="A279" s="341" t="s">
        <v>2486</v>
      </c>
      <c r="B279" s="335"/>
      <c r="C279" s="2" t="s">
        <v>2487</v>
      </c>
      <c r="D279" s="3">
        <v>0</v>
      </c>
      <c r="E279" s="3">
        <v>0</v>
      </c>
      <c r="F279" s="3">
        <v>0</v>
      </c>
      <c r="G279" s="3">
        <v>0</v>
      </c>
      <c r="H279" s="342">
        <v>0</v>
      </c>
      <c r="I279" s="335"/>
    </row>
    <row r="280" spans="1:9" x14ac:dyDescent="0.25">
      <c r="A280" s="341" t="s">
        <v>2488</v>
      </c>
      <c r="B280" s="335"/>
      <c r="C280" s="2" t="s">
        <v>2489</v>
      </c>
      <c r="D280" s="3">
        <v>0</v>
      </c>
      <c r="E280" s="3">
        <v>0</v>
      </c>
      <c r="F280" s="3">
        <v>0</v>
      </c>
      <c r="G280" s="3">
        <v>0</v>
      </c>
      <c r="H280" s="342">
        <v>0</v>
      </c>
      <c r="I280" s="335"/>
    </row>
    <row r="281" spans="1:9" ht="24" x14ac:dyDescent="0.25">
      <c r="A281" s="341" t="s">
        <v>2490</v>
      </c>
      <c r="B281" s="335"/>
      <c r="C281" s="2" t="s">
        <v>2491</v>
      </c>
      <c r="D281" s="3">
        <v>0</v>
      </c>
      <c r="E281" s="3">
        <v>0</v>
      </c>
      <c r="F281" s="3">
        <v>0</v>
      </c>
      <c r="G281" s="3">
        <v>0</v>
      </c>
      <c r="H281" s="342">
        <v>0</v>
      </c>
      <c r="I281" s="335"/>
    </row>
    <row r="282" spans="1:9" ht="24" x14ac:dyDescent="0.25">
      <c r="A282" s="341" t="s">
        <v>2492</v>
      </c>
      <c r="B282" s="335"/>
      <c r="C282" s="2" t="s">
        <v>2493</v>
      </c>
      <c r="D282" s="3">
        <v>0</v>
      </c>
      <c r="E282" s="3">
        <v>0</v>
      </c>
      <c r="F282" s="3">
        <v>0</v>
      </c>
      <c r="G282" s="3">
        <v>0</v>
      </c>
      <c r="H282" s="342">
        <v>0</v>
      </c>
      <c r="I282" s="335"/>
    </row>
    <row r="283" spans="1:9" ht="24" x14ac:dyDescent="0.25">
      <c r="A283" s="341" t="s">
        <v>2494</v>
      </c>
      <c r="B283" s="335"/>
      <c r="C283" s="2" t="s">
        <v>2495</v>
      </c>
      <c r="D283" s="3">
        <v>0</v>
      </c>
      <c r="E283" s="3">
        <v>0</v>
      </c>
      <c r="F283" s="3">
        <v>0</v>
      </c>
      <c r="G283" s="3">
        <v>0</v>
      </c>
      <c r="H283" s="342">
        <v>0</v>
      </c>
      <c r="I283" s="335"/>
    </row>
    <row r="284" spans="1:9" ht="24" x14ac:dyDescent="0.25">
      <c r="A284" s="341" t="s">
        <v>2496</v>
      </c>
      <c r="B284" s="335"/>
      <c r="C284" s="2" t="s">
        <v>2497</v>
      </c>
      <c r="D284" s="3">
        <v>0</v>
      </c>
      <c r="E284" s="3">
        <v>0</v>
      </c>
      <c r="F284" s="3">
        <v>0</v>
      </c>
      <c r="G284" s="3">
        <v>0</v>
      </c>
      <c r="H284" s="342">
        <v>0</v>
      </c>
      <c r="I284" s="335"/>
    </row>
    <row r="285" spans="1:9" ht="36" x14ac:dyDescent="0.25">
      <c r="A285" s="341" t="s">
        <v>2498</v>
      </c>
      <c r="B285" s="335"/>
      <c r="C285" s="2" t="s">
        <v>2499</v>
      </c>
      <c r="D285" s="3">
        <v>619.42999999999995</v>
      </c>
      <c r="E285" s="3">
        <v>648.37</v>
      </c>
      <c r="F285" s="3">
        <v>355.84</v>
      </c>
      <c r="G285" s="3">
        <v>0</v>
      </c>
      <c r="H285" s="342">
        <v>0</v>
      </c>
      <c r="I285" s="335"/>
    </row>
    <row r="286" spans="1:9" ht="24" x14ac:dyDescent="0.25">
      <c r="A286" s="341" t="s">
        <v>2500</v>
      </c>
      <c r="B286" s="335"/>
      <c r="C286" s="2" t="s">
        <v>2501</v>
      </c>
      <c r="D286" s="3">
        <v>2000</v>
      </c>
      <c r="E286" s="3">
        <v>0</v>
      </c>
      <c r="F286" s="3">
        <v>0</v>
      </c>
      <c r="G286" s="3">
        <v>0</v>
      </c>
      <c r="H286" s="342">
        <v>0</v>
      </c>
      <c r="I286" s="335"/>
    </row>
    <row r="287" spans="1:9" x14ac:dyDescent="0.25">
      <c r="A287" s="341" t="s">
        <v>2502</v>
      </c>
      <c r="B287" s="335"/>
      <c r="C287" s="2" t="s">
        <v>2503</v>
      </c>
      <c r="D287" s="3">
        <v>13.14</v>
      </c>
      <c r="E287" s="3">
        <v>19.45</v>
      </c>
      <c r="F287" s="3">
        <v>24</v>
      </c>
      <c r="G287" s="3">
        <v>2</v>
      </c>
      <c r="H287" s="342">
        <v>0</v>
      </c>
      <c r="I287" s="335"/>
    </row>
    <row r="288" spans="1:9" x14ac:dyDescent="0.25">
      <c r="A288" s="341" t="s">
        <v>2504</v>
      </c>
      <c r="B288" s="335"/>
      <c r="C288" s="2" t="s">
        <v>2505</v>
      </c>
      <c r="D288" s="3">
        <v>81</v>
      </c>
      <c r="E288" s="3">
        <v>0</v>
      </c>
      <c r="F288" s="3">
        <v>21</v>
      </c>
      <c r="G288" s="3">
        <v>0</v>
      </c>
      <c r="H288" s="342">
        <v>0</v>
      </c>
      <c r="I288" s="335"/>
    </row>
    <row r="289" spans="1:9" x14ac:dyDescent="0.25">
      <c r="A289" s="341" t="s">
        <v>2506</v>
      </c>
      <c r="B289" s="335"/>
      <c r="C289" s="2" t="s">
        <v>64</v>
      </c>
      <c r="D289" s="3">
        <v>0</v>
      </c>
      <c r="E289" s="3">
        <v>0</v>
      </c>
      <c r="F289" s="3">
        <v>3</v>
      </c>
      <c r="G289" s="3">
        <v>0</v>
      </c>
      <c r="H289" s="342">
        <v>0</v>
      </c>
      <c r="I289" s="335"/>
    </row>
    <row r="290" spans="1:9" x14ac:dyDescent="0.25">
      <c r="A290" s="341" t="s">
        <v>2507</v>
      </c>
      <c r="B290" s="335"/>
      <c r="C290" s="2" t="s">
        <v>2508</v>
      </c>
      <c r="D290" s="3">
        <v>114000</v>
      </c>
      <c r="E290" s="3">
        <v>0</v>
      </c>
      <c r="F290" s="3">
        <v>0</v>
      </c>
      <c r="G290" s="3">
        <v>0</v>
      </c>
      <c r="H290" s="342">
        <v>0</v>
      </c>
      <c r="I290" s="335"/>
    </row>
    <row r="291" spans="1:9" ht="24" x14ac:dyDescent="0.25">
      <c r="A291" s="341" t="s">
        <v>2509</v>
      </c>
      <c r="B291" s="335"/>
      <c r="C291" s="2" t="s">
        <v>2510</v>
      </c>
      <c r="D291" s="3">
        <v>0</v>
      </c>
      <c r="E291" s="3">
        <v>4500</v>
      </c>
      <c r="F291" s="3">
        <v>1707.22</v>
      </c>
      <c r="G291" s="3">
        <v>2243.88</v>
      </c>
      <c r="H291" s="342">
        <v>0</v>
      </c>
      <c r="I291" s="335"/>
    </row>
    <row r="292" spans="1:9" x14ac:dyDescent="0.25">
      <c r="A292" s="340" t="s">
        <v>2511</v>
      </c>
      <c r="B292" s="335"/>
      <c r="C292" s="1" t="s">
        <v>2</v>
      </c>
      <c r="D292" s="4">
        <v>255104.25</v>
      </c>
      <c r="E292" s="4">
        <v>137590.59</v>
      </c>
      <c r="F292" s="4">
        <v>104405.93</v>
      </c>
      <c r="G292" s="4">
        <v>98336.53</v>
      </c>
      <c r="H292" s="343">
        <v>0</v>
      </c>
      <c r="I292" s="335"/>
    </row>
    <row r="293" spans="1:9" x14ac:dyDescent="0.25">
      <c r="A293" s="340" t="s">
        <v>2</v>
      </c>
      <c r="B293" s="335"/>
      <c r="C293" s="1" t="s">
        <v>2</v>
      </c>
      <c r="D293" s="1" t="s">
        <v>2</v>
      </c>
      <c r="E293" s="1" t="s">
        <v>2</v>
      </c>
      <c r="F293" s="1" t="s">
        <v>2</v>
      </c>
      <c r="G293" s="1" t="s">
        <v>2</v>
      </c>
      <c r="H293" s="340" t="s">
        <v>2</v>
      </c>
      <c r="I293" s="335"/>
    </row>
    <row r="294" spans="1:9" x14ac:dyDescent="0.25">
      <c r="A294" s="340" t="s">
        <v>2026</v>
      </c>
      <c r="B294" s="335"/>
      <c r="C294" s="1" t="s">
        <v>2</v>
      </c>
    </row>
    <row r="295" spans="1:9" x14ac:dyDescent="0.25">
      <c r="A295" s="341" t="s">
        <v>2512</v>
      </c>
      <c r="B295" s="335"/>
      <c r="C295" s="2" t="s">
        <v>2513</v>
      </c>
      <c r="D295" s="3">
        <v>250000</v>
      </c>
      <c r="E295" s="3">
        <v>260000</v>
      </c>
      <c r="F295" s="3">
        <v>270000</v>
      </c>
      <c r="G295" s="3">
        <v>0</v>
      </c>
      <c r="H295" s="342">
        <v>0</v>
      </c>
      <c r="I295" s="335"/>
    </row>
    <row r="296" spans="1:9" ht="24" x14ac:dyDescent="0.25">
      <c r="A296" s="341" t="s">
        <v>2514</v>
      </c>
      <c r="B296" s="335"/>
      <c r="C296" s="2" t="s">
        <v>2515</v>
      </c>
      <c r="D296" s="3">
        <v>19521.2</v>
      </c>
      <c r="E296" s="3">
        <v>0</v>
      </c>
      <c r="F296" s="3">
        <v>0</v>
      </c>
      <c r="G296" s="3">
        <v>0</v>
      </c>
      <c r="H296" s="342">
        <v>0</v>
      </c>
      <c r="I296" s="335"/>
    </row>
    <row r="297" spans="1:9" ht="24" x14ac:dyDescent="0.25">
      <c r="A297" s="341" t="s">
        <v>2516</v>
      </c>
      <c r="B297" s="335"/>
      <c r="C297" s="2" t="s">
        <v>2517</v>
      </c>
      <c r="D297" s="3">
        <v>665000</v>
      </c>
      <c r="E297" s="3">
        <v>215000</v>
      </c>
      <c r="F297" s="3">
        <v>0</v>
      </c>
      <c r="G297" s="3">
        <v>0</v>
      </c>
      <c r="H297" s="342">
        <v>0</v>
      </c>
      <c r="I297" s="335"/>
    </row>
    <row r="298" spans="1:9" x14ac:dyDescent="0.25">
      <c r="A298" s="341" t="s">
        <v>2518</v>
      </c>
      <c r="B298" s="335"/>
      <c r="C298" s="2" t="s">
        <v>2519</v>
      </c>
      <c r="D298" s="3">
        <v>0</v>
      </c>
      <c r="E298" s="3">
        <v>70000</v>
      </c>
      <c r="F298" s="3">
        <v>50000</v>
      </c>
      <c r="G298" s="3">
        <v>0</v>
      </c>
      <c r="H298" s="342">
        <v>0</v>
      </c>
      <c r="I298" s="335"/>
    </row>
    <row r="299" spans="1:9" x14ac:dyDescent="0.25">
      <c r="A299" s="341" t="s">
        <v>2520</v>
      </c>
      <c r="B299" s="335"/>
      <c r="C299" s="2" t="s">
        <v>2521</v>
      </c>
      <c r="D299" s="3">
        <v>8000</v>
      </c>
      <c r="E299" s="3">
        <v>0</v>
      </c>
      <c r="F299" s="3">
        <v>8000</v>
      </c>
      <c r="G299" s="3">
        <v>0</v>
      </c>
      <c r="H299" s="342">
        <v>0</v>
      </c>
      <c r="I299" s="335"/>
    </row>
    <row r="300" spans="1:9" x14ac:dyDescent="0.25">
      <c r="A300" s="341" t="s">
        <v>2522</v>
      </c>
      <c r="B300" s="335"/>
      <c r="C300" s="2" t="s">
        <v>2523</v>
      </c>
      <c r="D300" s="3">
        <v>115000</v>
      </c>
      <c r="E300" s="3">
        <v>0</v>
      </c>
      <c r="F300" s="3">
        <v>91813.5</v>
      </c>
      <c r="G300" s="3">
        <v>0</v>
      </c>
      <c r="H300" s="342">
        <v>0</v>
      </c>
      <c r="I300" s="335"/>
    </row>
    <row r="301" spans="1:9" x14ac:dyDescent="0.25">
      <c r="A301" s="341" t="s">
        <v>2524</v>
      </c>
      <c r="B301" s="335"/>
      <c r="C301" s="2" t="s">
        <v>2525</v>
      </c>
      <c r="D301" s="3">
        <v>15000</v>
      </c>
      <c r="E301" s="3">
        <v>17000</v>
      </c>
      <c r="F301" s="3">
        <v>25000</v>
      </c>
      <c r="G301" s="3">
        <v>0</v>
      </c>
      <c r="H301" s="342">
        <v>0</v>
      </c>
      <c r="I301" s="335"/>
    </row>
    <row r="302" spans="1:9" x14ac:dyDescent="0.25">
      <c r="A302" s="341" t="s">
        <v>2526</v>
      </c>
      <c r="B302" s="335"/>
      <c r="C302" s="2" t="s">
        <v>2527</v>
      </c>
      <c r="D302" s="3">
        <v>0</v>
      </c>
      <c r="E302" s="3">
        <v>0</v>
      </c>
      <c r="F302" s="3">
        <v>0</v>
      </c>
      <c r="G302" s="3">
        <v>0</v>
      </c>
      <c r="H302" s="342">
        <v>0</v>
      </c>
      <c r="I302" s="335"/>
    </row>
    <row r="303" spans="1:9" x14ac:dyDescent="0.25">
      <c r="A303" s="341" t="s">
        <v>2528</v>
      </c>
      <c r="B303" s="335"/>
      <c r="C303" s="2" t="s">
        <v>2529</v>
      </c>
      <c r="D303" s="3">
        <v>0</v>
      </c>
      <c r="E303" s="3">
        <v>0</v>
      </c>
      <c r="F303" s="3">
        <v>665000</v>
      </c>
      <c r="G303" s="3">
        <v>0</v>
      </c>
      <c r="H303" s="342">
        <v>0</v>
      </c>
      <c r="I303" s="335"/>
    </row>
    <row r="304" spans="1:9" x14ac:dyDescent="0.25">
      <c r="A304" s="341" t="s">
        <v>2530</v>
      </c>
      <c r="B304" s="335"/>
      <c r="C304" s="2" t="s">
        <v>2531</v>
      </c>
      <c r="D304" s="3">
        <v>43496.55</v>
      </c>
      <c r="E304" s="3">
        <v>0</v>
      </c>
      <c r="F304" s="3">
        <v>0</v>
      </c>
      <c r="G304" s="3">
        <v>0</v>
      </c>
      <c r="H304" s="342">
        <v>0</v>
      </c>
      <c r="I304" s="335"/>
    </row>
    <row r="305" spans="1:9" x14ac:dyDescent="0.25">
      <c r="A305" s="340" t="s">
        <v>2047</v>
      </c>
      <c r="B305" s="335"/>
      <c r="C305" s="1" t="s">
        <v>2</v>
      </c>
      <c r="D305" s="4">
        <v>1116017.75</v>
      </c>
      <c r="E305" s="4">
        <v>562000</v>
      </c>
      <c r="F305" s="4">
        <v>1109813.5</v>
      </c>
      <c r="G305" s="4">
        <v>0</v>
      </c>
      <c r="H305" s="343">
        <v>0</v>
      </c>
      <c r="I305" s="335"/>
    </row>
    <row r="306" spans="1:9" x14ac:dyDescent="0.25">
      <c r="A306" s="340" t="s">
        <v>2</v>
      </c>
      <c r="B306" s="335"/>
      <c r="C306" s="1" t="s">
        <v>2</v>
      </c>
      <c r="D306" s="1" t="s">
        <v>2</v>
      </c>
      <c r="E306" s="1" t="s">
        <v>2</v>
      </c>
      <c r="F306" s="1" t="s">
        <v>2</v>
      </c>
      <c r="G306" s="1" t="s">
        <v>2</v>
      </c>
      <c r="H306" s="340" t="s">
        <v>2</v>
      </c>
      <c r="I306" s="335"/>
    </row>
    <row r="307" spans="1:9" x14ac:dyDescent="0.25">
      <c r="A307" s="340" t="s">
        <v>2532</v>
      </c>
      <c r="B307" s="335"/>
      <c r="C307" s="1" t="s">
        <v>2</v>
      </c>
    </row>
    <row r="308" spans="1:9" ht="24" x14ac:dyDescent="0.25">
      <c r="A308" s="341" t="s">
        <v>2533</v>
      </c>
      <c r="B308" s="335"/>
      <c r="C308" s="2" t="s">
        <v>2534</v>
      </c>
      <c r="D308" s="3">
        <v>0</v>
      </c>
      <c r="E308" s="3">
        <v>0</v>
      </c>
      <c r="F308" s="3">
        <v>0</v>
      </c>
      <c r="G308" s="3">
        <v>0</v>
      </c>
      <c r="H308" s="342">
        <v>0</v>
      </c>
      <c r="I308" s="335"/>
    </row>
    <row r="309" spans="1:9" ht="24" x14ac:dyDescent="0.25">
      <c r="A309" s="341" t="s">
        <v>2535</v>
      </c>
      <c r="B309" s="335"/>
      <c r="C309" s="2" t="s">
        <v>2536</v>
      </c>
      <c r="D309" s="3">
        <v>0</v>
      </c>
      <c r="E309" s="3">
        <v>0</v>
      </c>
      <c r="F309" s="3">
        <v>0</v>
      </c>
      <c r="G309" s="3">
        <v>0</v>
      </c>
      <c r="H309" s="342">
        <v>0</v>
      </c>
      <c r="I309" s="335"/>
    </row>
    <row r="310" spans="1:9" x14ac:dyDescent="0.25">
      <c r="A310" s="340" t="s">
        <v>2537</v>
      </c>
      <c r="B310" s="335"/>
      <c r="C310" s="1" t="s">
        <v>2</v>
      </c>
      <c r="D310" s="4">
        <v>0</v>
      </c>
      <c r="E310" s="4">
        <v>0</v>
      </c>
      <c r="F310" s="4">
        <v>0</v>
      </c>
      <c r="G310" s="4">
        <v>0</v>
      </c>
      <c r="H310" s="343">
        <v>0</v>
      </c>
      <c r="I310" s="335"/>
    </row>
    <row r="311" spans="1:9" x14ac:dyDescent="0.25">
      <c r="A311" s="340" t="s">
        <v>2</v>
      </c>
      <c r="B311" s="335"/>
      <c r="C311" s="1" t="s">
        <v>2</v>
      </c>
      <c r="D311" s="1" t="s">
        <v>2</v>
      </c>
      <c r="E311" s="1" t="s">
        <v>2</v>
      </c>
      <c r="F311" s="1" t="s">
        <v>2</v>
      </c>
      <c r="G311" s="1" t="s">
        <v>2</v>
      </c>
      <c r="H311" s="340" t="s">
        <v>2</v>
      </c>
      <c r="I311" s="335"/>
    </row>
    <row r="312" spans="1:9" x14ac:dyDescent="0.25">
      <c r="A312" s="341" t="s">
        <v>2538</v>
      </c>
      <c r="B312" s="335"/>
      <c r="C312" s="2" t="s">
        <v>2539</v>
      </c>
      <c r="D312" s="3">
        <v>105204.81</v>
      </c>
      <c r="E312" s="3">
        <v>36938.29</v>
      </c>
      <c r="F312" s="3">
        <v>-30305.47</v>
      </c>
      <c r="G312" s="3">
        <v>270605.43</v>
      </c>
      <c r="H312" s="342">
        <v>0</v>
      </c>
      <c r="I312" s="335"/>
    </row>
    <row r="313" spans="1:9" x14ac:dyDescent="0.25">
      <c r="A313" s="341" t="s">
        <v>2540</v>
      </c>
      <c r="B313" s="335"/>
      <c r="C313" s="2" t="s">
        <v>2541</v>
      </c>
      <c r="D313" s="3">
        <v>0</v>
      </c>
      <c r="E313" s="3">
        <v>0</v>
      </c>
      <c r="F313" s="3">
        <v>16000</v>
      </c>
      <c r="G313" s="3">
        <v>0</v>
      </c>
      <c r="H313" s="342">
        <v>0</v>
      </c>
      <c r="I313" s="335"/>
    </row>
    <row r="314" spans="1:9" x14ac:dyDescent="0.25">
      <c r="A314" s="341" t="s">
        <v>2542</v>
      </c>
      <c r="B314" s="335"/>
      <c r="C314" s="2" t="s">
        <v>704</v>
      </c>
      <c r="D314" s="3">
        <v>0</v>
      </c>
      <c r="E314" s="3">
        <v>0</v>
      </c>
      <c r="F314" s="3">
        <v>0</v>
      </c>
      <c r="G314" s="3">
        <v>3345.71</v>
      </c>
      <c r="H314" s="342">
        <v>0</v>
      </c>
      <c r="I314" s="335"/>
    </row>
    <row r="315" spans="1:9" x14ac:dyDescent="0.25">
      <c r="A315" s="340" t="s">
        <v>738</v>
      </c>
      <c r="B315" s="335"/>
      <c r="C315" s="1" t="s">
        <v>2</v>
      </c>
      <c r="D315" s="4">
        <v>10074478.58</v>
      </c>
      <c r="E315" s="4">
        <v>10462073.609999999</v>
      </c>
      <c r="F315" s="4">
        <v>12754872.9</v>
      </c>
      <c r="G315" s="4">
        <v>8449046.5800000001</v>
      </c>
      <c r="H315" s="343">
        <v>0</v>
      </c>
      <c r="I315" s="335"/>
    </row>
    <row r="316" spans="1:9" x14ac:dyDescent="0.25">
      <c r="A316" s="340" t="s">
        <v>2</v>
      </c>
      <c r="B316" s="335"/>
      <c r="C316" s="1" t="s">
        <v>2</v>
      </c>
      <c r="D316" s="1" t="s">
        <v>2</v>
      </c>
      <c r="E316" s="1" t="s">
        <v>2</v>
      </c>
      <c r="F316" s="1" t="s">
        <v>2</v>
      </c>
      <c r="G316" s="1" t="s">
        <v>2</v>
      </c>
      <c r="H316" s="340" t="s">
        <v>2</v>
      </c>
      <c r="I316" s="335"/>
    </row>
    <row r="317" spans="1:9" x14ac:dyDescent="0.25">
      <c r="A317" s="340" t="s">
        <v>739</v>
      </c>
      <c r="B317" s="335"/>
      <c r="C317" s="1" t="s">
        <v>2</v>
      </c>
    </row>
    <row r="318" spans="1:9" x14ac:dyDescent="0.25">
      <c r="A318" s="340" t="s">
        <v>2026</v>
      </c>
      <c r="B318" s="335"/>
      <c r="C318" s="1" t="s">
        <v>2</v>
      </c>
    </row>
    <row r="319" spans="1:9" x14ac:dyDescent="0.25">
      <c r="A319" s="340" t="s">
        <v>2175</v>
      </c>
      <c r="B319" s="335"/>
      <c r="C319" s="1" t="s">
        <v>2</v>
      </c>
    </row>
    <row r="320" spans="1:9" x14ac:dyDescent="0.25">
      <c r="A320" s="340" t="s">
        <v>2176</v>
      </c>
      <c r="B320" s="335"/>
      <c r="C320" s="1" t="s">
        <v>2</v>
      </c>
    </row>
    <row r="321" spans="1:9" x14ac:dyDescent="0.25">
      <c r="A321" s="341" t="s">
        <v>2552</v>
      </c>
      <c r="B321" s="335"/>
      <c r="C321" s="2" t="s">
        <v>2409</v>
      </c>
      <c r="D321" s="3">
        <v>2407.6999999999998</v>
      </c>
      <c r="E321" s="3">
        <v>673.6</v>
      </c>
      <c r="F321" s="3">
        <v>200.25</v>
      </c>
      <c r="G321" s="3">
        <v>447.3</v>
      </c>
      <c r="H321" s="342">
        <v>0</v>
      </c>
      <c r="I321" s="335"/>
    </row>
    <row r="322" spans="1:9" x14ac:dyDescent="0.25">
      <c r="A322" s="340" t="s">
        <v>2179</v>
      </c>
      <c r="B322" s="335"/>
      <c r="C322" s="1" t="s">
        <v>2</v>
      </c>
      <c r="D322" s="4">
        <v>2407.6999999999998</v>
      </c>
      <c r="E322" s="4">
        <v>673.6</v>
      </c>
      <c r="F322" s="4">
        <v>200.25</v>
      </c>
      <c r="G322" s="4">
        <v>447.3</v>
      </c>
      <c r="H322" s="343">
        <v>0</v>
      </c>
      <c r="I322" s="335"/>
    </row>
    <row r="323" spans="1:9" x14ac:dyDescent="0.25">
      <c r="A323" s="340" t="s">
        <v>2</v>
      </c>
      <c r="B323" s="335"/>
      <c r="C323" s="1" t="s">
        <v>2</v>
      </c>
      <c r="D323" s="1" t="s">
        <v>2</v>
      </c>
      <c r="E323" s="1" t="s">
        <v>2</v>
      </c>
      <c r="F323" s="1" t="s">
        <v>2</v>
      </c>
      <c r="G323" s="1" t="s">
        <v>2</v>
      </c>
      <c r="H323" s="340" t="s">
        <v>2</v>
      </c>
      <c r="I323" s="335"/>
    </row>
    <row r="324" spans="1:9" x14ac:dyDescent="0.25">
      <c r="A324" s="340" t="s">
        <v>2180</v>
      </c>
      <c r="B324" s="335"/>
      <c r="C324" s="1" t="s">
        <v>2</v>
      </c>
      <c r="D324" s="4">
        <v>2407.6999999999998</v>
      </c>
      <c r="E324" s="4">
        <v>673.6</v>
      </c>
      <c r="F324" s="4">
        <v>200.25</v>
      </c>
      <c r="G324" s="4">
        <v>447.3</v>
      </c>
      <c r="H324" s="343">
        <v>0</v>
      </c>
      <c r="I324" s="335"/>
    </row>
    <row r="325" spans="1:9" x14ac:dyDescent="0.25">
      <c r="A325" s="340" t="s">
        <v>2</v>
      </c>
      <c r="B325" s="335"/>
      <c r="C325" s="1" t="s">
        <v>2</v>
      </c>
      <c r="D325" s="1" t="s">
        <v>2</v>
      </c>
      <c r="E325" s="1" t="s">
        <v>2</v>
      </c>
      <c r="F325" s="1" t="s">
        <v>2</v>
      </c>
      <c r="G325" s="1" t="s">
        <v>2</v>
      </c>
      <c r="H325" s="340" t="s">
        <v>2</v>
      </c>
      <c r="I325" s="335"/>
    </row>
    <row r="326" spans="1:9" x14ac:dyDescent="0.25">
      <c r="A326" s="340" t="s">
        <v>2553</v>
      </c>
      <c r="B326" s="335"/>
      <c r="C326" s="1" t="s">
        <v>2</v>
      </c>
    </row>
    <row r="327" spans="1:9" x14ac:dyDescent="0.25">
      <c r="A327" s="341" t="s">
        <v>2554</v>
      </c>
      <c r="B327" s="335"/>
      <c r="C327" s="2" t="s">
        <v>2555</v>
      </c>
      <c r="D327" s="3">
        <v>0</v>
      </c>
      <c r="E327" s="3">
        <v>50000</v>
      </c>
      <c r="F327" s="3">
        <v>50000</v>
      </c>
      <c r="G327" s="3">
        <v>0</v>
      </c>
      <c r="H327" s="342">
        <v>0</v>
      </c>
      <c r="I327" s="335"/>
    </row>
    <row r="328" spans="1:9" x14ac:dyDescent="0.25">
      <c r="A328" s="340" t="s">
        <v>2556</v>
      </c>
      <c r="B328" s="335"/>
      <c r="C328" s="1" t="s">
        <v>2</v>
      </c>
      <c r="D328" s="4">
        <v>0</v>
      </c>
      <c r="E328" s="4">
        <v>50000</v>
      </c>
      <c r="F328" s="4">
        <v>50000</v>
      </c>
      <c r="G328" s="4">
        <v>0</v>
      </c>
      <c r="H328" s="343">
        <v>0</v>
      </c>
      <c r="I328" s="335"/>
    </row>
    <row r="329" spans="1:9" x14ac:dyDescent="0.25">
      <c r="A329" s="340" t="s">
        <v>2</v>
      </c>
      <c r="B329" s="335"/>
      <c r="C329" s="1" t="s">
        <v>2</v>
      </c>
      <c r="D329" s="1" t="s">
        <v>2</v>
      </c>
      <c r="E329" s="1" t="s">
        <v>2</v>
      </c>
      <c r="F329" s="1" t="s">
        <v>2</v>
      </c>
      <c r="G329" s="1" t="s">
        <v>2</v>
      </c>
      <c r="H329" s="340" t="s">
        <v>2</v>
      </c>
      <c r="I329" s="335"/>
    </row>
    <row r="330" spans="1:9" x14ac:dyDescent="0.25">
      <c r="A330" s="340" t="s">
        <v>2047</v>
      </c>
      <c r="B330" s="335"/>
      <c r="C330" s="1" t="s">
        <v>2</v>
      </c>
      <c r="D330" s="4">
        <v>2407.6999999999998</v>
      </c>
      <c r="E330" s="4">
        <v>50673.599999999999</v>
      </c>
      <c r="F330" s="4">
        <v>50200.25</v>
      </c>
      <c r="G330" s="4">
        <v>447.3</v>
      </c>
      <c r="H330" s="343">
        <v>0</v>
      </c>
      <c r="I330" s="335"/>
    </row>
    <row r="331" spans="1:9" x14ac:dyDescent="0.25">
      <c r="A331" s="340" t="s">
        <v>2</v>
      </c>
      <c r="B331" s="335"/>
      <c r="C331" s="1" t="s">
        <v>2</v>
      </c>
      <c r="D331" s="1" t="s">
        <v>2</v>
      </c>
      <c r="E331" s="1" t="s">
        <v>2</v>
      </c>
      <c r="F331" s="1" t="s">
        <v>2</v>
      </c>
      <c r="G331" s="1" t="s">
        <v>2</v>
      </c>
      <c r="H331" s="340" t="s">
        <v>2</v>
      </c>
      <c r="I331" s="335"/>
    </row>
    <row r="332" spans="1:9" x14ac:dyDescent="0.25">
      <c r="A332" s="340" t="s">
        <v>743</v>
      </c>
      <c r="B332" s="335"/>
      <c r="C332" s="1" t="s">
        <v>2</v>
      </c>
      <c r="D332" s="4">
        <v>2407.6999999999998</v>
      </c>
      <c r="E332" s="4">
        <v>50673.599999999999</v>
      </c>
      <c r="F332" s="4">
        <v>50200.25</v>
      </c>
      <c r="G332" s="4">
        <v>447.3</v>
      </c>
      <c r="H332" s="343">
        <v>0</v>
      </c>
      <c r="I332" s="335"/>
    </row>
    <row r="333" spans="1:9" x14ac:dyDescent="0.25">
      <c r="A333" s="340" t="s">
        <v>2</v>
      </c>
      <c r="B333" s="335"/>
      <c r="C333" s="1" t="s">
        <v>2</v>
      </c>
      <c r="D333" s="1" t="s">
        <v>2</v>
      </c>
      <c r="E333" s="1" t="s">
        <v>2</v>
      </c>
      <c r="F333" s="1" t="s">
        <v>2</v>
      </c>
      <c r="G333" s="1" t="s">
        <v>2</v>
      </c>
      <c r="H333" s="340" t="s">
        <v>2</v>
      </c>
      <c r="I333" s="335"/>
    </row>
    <row r="334" spans="1:9" x14ac:dyDescent="0.25">
      <c r="A334" s="340" t="s">
        <v>744</v>
      </c>
      <c r="B334" s="335"/>
      <c r="C334" s="1" t="s">
        <v>2</v>
      </c>
    </row>
    <row r="335" spans="1:9" x14ac:dyDescent="0.25">
      <c r="A335" s="340" t="s">
        <v>2026</v>
      </c>
      <c r="B335" s="335"/>
      <c r="C335" s="1" t="s">
        <v>2</v>
      </c>
    </row>
    <row r="336" spans="1:9" x14ac:dyDescent="0.25">
      <c r="A336" s="340" t="s">
        <v>2175</v>
      </c>
      <c r="B336" s="335"/>
      <c r="C336" s="1" t="s">
        <v>2</v>
      </c>
    </row>
    <row r="337" spans="1:9" x14ac:dyDescent="0.25">
      <c r="A337" s="340" t="s">
        <v>2176</v>
      </c>
      <c r="B337" s="335"/>
      <c r="C337" s="1" t="s">
        <v>2</v>
      </c>
    </row>
    <row r="338" spans="1:9" x14ac:dyDescent="0.25">
      <c r="A338" s="341" t="s">
        <v>2559</v>
      </c>
      <c r="B338" s="335"/>
      <c r="C338" s="2" t="s">
        <v>2409</v>
      </c>
      <c r="D338" s="3">
        <v>2407.6999999999998</v>
      </c>
      <c r="E338" s="3">
        <v>574.38</v>
      </c>
      <c r="F338" s="3">
        <v>456.93</v>
      </c>
      <c r="G338" s="3">
        <v>2202.5700000000002</v>
      </c>
      <c r="H338" s="342">
        <v>0</v>
      </c>
      <c r="I338" s="335"/>
    </row>
    <row r="339" spans="1:9" x14ac:dyDescent="0.25">
      <c r="A339" s="340" t="s">
        <v>2179</v>
      </c>
      <c r="B339" s="335"/>
      <c r="C339" s="1" t="s">
        <v>2</v>
      </c>
      <c r="D339" s="4">
        <v>2407.6999999999998</v>
      </c>
      <c r="E339" s="4">
        <v>574.38</v>
      </c>
      <c r="F339" s="4">
        <v>456.93</v>
      </c>
      <c r="G339" s="4">
        <v>2202.5700000000002</v>
      </c>
      <c r="H339" s="343">
        <v>0</v>
      </c>
      <c r="I339" s="335"/>
    </row>
    <row r="340" spans="1:9" x14ac:dyDescent="0.25">
      <c r="A340" s="340" t="s">
        <v>2</v>
      </c>
      <c r="B340" s="335"/>
      <c r="C340" s="1" t="s">
        <v>2</v>
      </c>
      <c r="D340" s="1" t="s">
        <v>2</v>
      </c>
      <c r="E340" s="1" t="s">
        <v>2</v>
      </c>
      <c r="F340" s="1" t="s">
        <v>2</v>
      </c>
      <c r="G340" s="1" t="s">
        <v>2</v>
      </c>
      <c r="H340" s="340" t="s">
        <v>2</v>
      </c>
      <c r="I340" s="335"/>
    </row>
    <row r="341" spans="1:9" x14ac:dyDescent="0.25">
      <c r="A341" s="340" t="s">
        <v>2180</v>
      </c>
      <c r="B341" s="335"/>
      <c r="C341" s="1" t="s">
        <v>2</v>
      </c>
      <c r="D341" s="4">
        <v>2407.6999999999998</v>
      </c>
      <c r="E341" s="4">
        <v>574.38</v>
      </c>
      <c r="F341" s="4">
        <v>456.93</v>
      </c>
      <c r="G341" s="4">
        <v>2202.5700000000002</v>
      </c>
      <c r="H341" s="343">
        <v>0</v>
      </c>
      <c r="I341" s="335"/>
    </row>
    <row r="342" spans="1:9" x14ac:dyDescent="0.25">
      <c r="A342" s="340" t="s">
        <v>2</v>
      </c>
      <c r="B342" s="335"/>
      <c r="C342" s="1" t="s">
        <v>2</v>
      </c>
      <c r="D342" s="1" t="s">
        <v>2</v>
      </c>
      <c r="E342" s="1" t="s">
        <v>2</v>
      </c>
      <c r="F342" s="1" t="s">
        <v>2</v>
      </c>
      <c r="G342" s="1" t="s">
        <v>2</v>
      </c>
      <c r="H342" s="340" t="s">
        <v>2</v>
      </c>
      <c r="I342" s="335"/>
    </row>
    <row r="343" spans="1:9" x14ac:dyDescent="0.25">
      <c r="A343" s="340" t="s">
        <v>2553</v>
      </c>
      <c r="B343" s="335"/>
      <c r="C343" s="1" t="s">
        <v>2</v>
      </c>
    </row>
    <row r="344" spans="1:9" x14ac:dyDescent="0.25">
      <c r="A344" s="341" t="s">
        <v>2560</v>
      </c>
      <c r="B344" s="335"/>
      <c r="C344" s="2" t="s">
        <v>2561</v>
      </c>
      <c r="D344" s="3">
        <v>0</v>
      </c>
      <c r="E344" s="3">
        <v>0</v>
      </c>
      <c r="F344" s="3">
        <v>500000</v>
      </c>
      <c r="G344" s="3">
        <v>0</v>
      </c>
      <c r="H344" s="342">
        <v>0</v>
      </c>
      <c r="I344" s="335"/>
    </row>
    <row r="345" spans="1:9" x14ac:dyDescent="0.25">
      <c r="A345" s="341" t="s">
        <v>2562</v>
      </c>
      <c r="B345" s="335"/>
      <c r="C345" s="2" t="s">
        <v>2555</v>
      </c>
      <c r="D345" s="3">
        <v>0</v>
      </c>
      <c r="E345" s="3">
        <v>15000</v>
      </c>
      <c r="F345" s="3">
        <v>515000</v>
      </c>
      <c r="G345" s="3">
        <v>0</v>
      </c>
      <c r="H345" s="342">
        <v>0</v>
      </c>
      <c r="I345" s="335"/>
    </row>
    <row r="346" spans="1:9" x14ac:dyDescent="0.25">
      <c r="A346" s="340" t="s">
        <v>2047</v>
      </c>
      <c r="B346" s="335"/>
      <c r="C346" s="1" t="s">
        <v>2</v>
      </c>
      <c r="D346" s="4">
        <v>2407.6999999999998</v>
      </c>
      <c r="E346" s="4">
        <v>15574.38</v>
      </c>
      <c r="F346" s="4">
        <v>1015456.93</v>
      </c>
      <c r="G346" s="4">
        <v>2202.5700000000002</v>
      </c>
      <c r="H346" s="343">
        <v>0</v>
      </c>
      <c r="I346" s="335"/>
    </row>
    <row r="347" spans="1:9" x14ac:dyDescent="0.25">
      <c r="A347" s="340" t="s">
        <v>2</v>
      </c>
      <c r="B347" s="335"/>
      <c r="C347" s="1" t="s">
        <v>2</v>
      </c>
      <c r="D347" s="1" t="s">
        <v>2</v>
      </c>
      <c r="E347" s="1" t="s">
        <v>2</v>
      </c>
      <c r="F347" s="1" t="s">
        <v>2</v>
      </c>
      <c r="G347" s="1" t="s">
        <v>2</v>
      </c>
      <c r="H347" s="340" t="s">
        <v>2</v>
      </c>
      <c r="I347" s="335"/>
    </row>
    <row r="348" spans="1:9" x14ac:dyDescent="0.25">
      <c r="A348" s="340" t="s">
        <v>2556</v>
      </c>
      <c r="B348" s="335"/>
      <c r="C348" s="1" t="s">
        <v>2</v>
      </c>
      <c r="D348" s="4">
        <v>0</v>
      </c>
      <c r="E348" s="4">
        <v>15000</v>
      </c>
      <c r="F348" s="4">
        <v>1015000</v>
      </c>
      <c r="G348" s="4">
        <v>0</v>
      </c>
      <c r="H348" s="343">
        <v>0</v>
      </c>
      <c r="I348" s="335"/>
    </row>
    <row r="349" spans="1:9" x14ac:dyDescent="0.25">
      <c r="A349" s="340" t="s">
        <v>2</v>
      </c>
      <c r="B349" s="335"/>
      <c r="C349" s="1" t="s">
        <v>2</v>
      </c>
      <c r="D349" s="1" t="s">
        <v>2</v>
      </c>
      <c r="E349" s="1" t="s">
        <v>2</v>
      </c>
      <c r="F349" s="1" t="s">
        <v>2</v>
      </c>
      <c r="G349" s="1" t="s">
        <v>2</v>
      </c>
      <c r="H349" s="340" t="s">
        <v>2</v>
      </c>
      <c r="I349" s="335"/>
    </row>
    <row r="350" spans="1:9" x14ac:dyDescent="0.25">
      <c r="A350" s="340" t="s">
        <v>747</v>
      </c>
      <c r="B350" s="335"/>
      <c r="C350" s="1" t="s">
        <v>2</v>
      </c>
      <c r="D350" s="4">
        <v>2407.6999999999998</v>
      </c>
      <c r="E350" s="4">
        <v>15574.38</v>
      </c>
      <c r="F350" s="4">
        <v>1015456.93</v>
      </c>
      <c r="G350" s="4">
        <v>2202.5700000000002</v>
      </c>
      <c r="H350" s="343">
        <v>0</v>
      </c>
      <c r="I350" s="335"/>
    </row>
    <row r="351" spans="1:9" x14ac:dyDescent="0.25">
      <c r="A351" s="340" t="s">
        <v>2</v>
      </c>
      <c r="B351" s="335"/>
      <c r="C351" s="1" t="s">
        <v>2</v>
      </c>
      <c r="D351" s="1" t="s">
        <v>2</v>
      </c>
      <c r="E351" s="1" t="s">
        <v>2</v>
      </c>
      <c r="F351" s="1" t="s">
        <v>2</v>
      </c>
      <c r="G351" s="1" t="s">
        <v>2</v>
      </c>
      <c r="H351" s="340" t="s">
        <v>2</v>
      </c>
      <c r="I351" s="335"/>
    </row>
    <row r="352" spans="1:9" x14ac:dyDescent="0.25">
      <c r="A352" s="340" t="s">
        <v>748</v>
      </c>
      <c r="B352" s="335"/>
      <c r="C352" s="1" t="s">
        <v>2</v>
      </c>
    </row>
    <row r="353" spans="1:9" x14ac:dyDescent="0.25">
      <c r="A353" s="340" t="s">
        <v>2026</v>
      </c>
      <c r="B353" s="335"/>
      <c r="C353" s="1" t="s">
        <v>2</v>
      </c>
    </row>
    <row r="354" spans="1:9" x14ac:dyDescent="0.25">
      <c r="A354" s="340" t="s">
        <v>2176</v>
      </c>
      <c r="B354" s="335"/>
      <c r="C354" s="1" t="s">
        <v>2</v>
      </c>
    </row>
    <row r="355" spans="1:9" x14ac:dyDescent="0.25">
      <c r="A355" s="340" t="s">
        <v>2564</v>
      </c>
      <c r="B355" s="335"/>
      <c r="C355" s="1" t="s">
        <v>2</v>
      </c>
    </row>
    <row r="356" spans="1:9" x14ac:dyDescent="0.25">
      <c r="A356" s="341" t="s">
        <v>2565</v>
      </c>
      <c r="B356" s="335"/>
      <c r="C356" s="2" t="s">
        <v>2409</v>
      </c>
      <c r="D356" s="3">
        <v>7884.04</v>
      </c>
      <c r="E356" s="3">
        <v>3713.99</v>
      </c>
      <c r="F356" s="3">
        <v>1072.47</v>
      </c>
      <c r="G356" s="3">
        <v>2924.68</v>
      </c>
      <c r="H356" s="342">
        <v>0</v>
      </c>
      <c r="I356" s="335"/>
    </row>
    <row r="357" spans="1:9" x14ac:dyDescent="0.25">
      <c r="A357" s="340" t="s">
        <v>2580</v>
      </c>
      <c r="B357" s="335"/>
      <c r="C357" s="1" t="s">
        <v>2</v>
      </c>
      <c r="D357" s="4">
        <v>7884.04</v>
      </c>
      <c r="E357" s="4">
        <v>3713.99</v>
      </c>
      <c r="F357" s="4">
        <v>1072.47</v>
      </c>
      <c r="G357" s="4">
        <v>2924.68</v>
      </c>
      <c r="H357" s="343">
        <v>0</v>
      </c>
      <c r="I357" s="335"/>
    </row>
    <row r="358" spans="1:9" x14ac:dyDescent="0.25">
      <c r="A358" s="340" t="s">
        <v>2</v>
      </c>
      <c r="B358" s="335"/>
      <c r="C358" s="1" t="s">
        <v>2</v>
      </c>
      <c r="D358" s="1" t="s">
        <v>2</v>
      </c>
      <c r="E358" s="1" t="s">
        <v>2</v>
      </c>
      <c r="F358" s="1" t="s">
        <v>2</v>
      </c>
      <c r="G358" s="1" t="s">
        <v>2</v>
      </c>
      <c r="H358" s="340" t="s">
        <v>2</v>
      </c>
      <c r="I358" s="335"/>
    </row>
    <row r="359" spans="1:9" x14ac:dyDescent="0.25">
      <c r="A359" s="340" t="s">
        <v>2179</v>
      </c>
      <c r="B359" s="335"/>
      <c r="C359" s="1" t="s">
        <v>2</v>
      </c>
      <c r="D359" s="4">
        <v>7884.04</v>
      </c>
      <c r="E359" s="4">
        <v>3713.99</v>
      </c>
      <c r="F359" s="4">
        <v>1072.47</v>
      </c>
      <c r="G359" s="4">
        <v>2924.68</v>
      </c>
      <c r="H359" s="343">
        <v>0</v>
      </c>
      <c r="I359" s="335"/>
    </row>
    <row r="360" spans="1:9" x14ac:dyDescent="0.25">
      <c r="A360" s="340" t="s">
        <v>2</v>
      </c>
      <c r="B360" s="335"/>
      <c r="C360" s="1" t="s">
        <v>2</v>
      </c>
      <c r="D360" s="1" t="s">
        <v>2</v>
      </c>
      <c r="E360" s="1" t="s">
        <v>2</v>
      </c>
      <c r="F360" s="1" t="s">
        <v>2</v>
      </c>
      <c r="G360" s="1" t="s">
        <v>2</v>
      </c>
      <c r="H360" s="340" t="s">
        <v>2</v>
      </c>
      <c r="I360" s="335"/>
    </row>
    <row r="361" spans="1:9" x14ac:dyDescent="0.25">
      <c r="A361" s="340" t="s">
        <v>2553</v>
      </c>
      <c r="B361" s="335"/>
      <c r="C361" s="1" t="s">
        <v>2</v>
      </c>
    </row>
    <row r="362" spans="1:9" x14ac:dyDescent="0.25">
      <c r="A362" s="341" t="s">
        <v>2566</v>
      </c>
      <c r="B362" s="335"/>
      <c r="C362" s="2" t="s">
        <v>2567</v>
      </c>
      <c r="D362" s="3">
        <v>100000</v>
      </c>
      <c r="E362" s="3">
        <v>100000</v>
      </c>
      <c r="F362" s="3">
        <v>100000</v>
      </c>
      <c r="G362" s="3">
        <v>0</v>
      </c>
      <c r="H362" s="342">
        <v>0</v>
      </c>
      <c r="I362" s="335"/>
    </row>
    <row r="363" spans="1:9" x14ac:dyDescent="0.25">
      <c r="A363" s="341" t="s">
        <v>2568</v>
      </c>
      <c r="B363" s="335"/>
      <c r="C363" s="2" t="s">
        <v>2555</v>
      </c>
      <c r="D363" s="3">
        <v>100000</v>
      </c>
      <c r="E363" s="3">
        <v>100000</v>
      </c>
      <c r="F363" s="3">
        <v>570000</v>
      </c>
      <c r="G363" s="3">
        <v>0</v>
      </c>
      <c r="H363" s="342">
        <v>0</v>
      </c>
      <c r="I363" s="335"/>
    </row>
    <row r="364" spans="1:9" x14ac:dyDescent="0.25">
      <c r="A364" s="340" t="s">
        <v>2047</v>
      </c>
      <c r="B364" s="335"/>
      <c r="C364" s="1" t="s">
        <v>2</v>
      </c>
      <c r="D364" s="4">
        <v>207884.04</v>
      </c>
      <c r="E364" s="4">
        <v>203713.99</v>
      </c>
      <c r="F364" s="4">
        <v>671072.47</v>
      </c>
      <c r="G364" s="4">
        <v>2924.68</v>
      </c>
      <c r="H364" s="343">
        <v>0</v>
      </c>
      <c r="I364" s="335"/>
    </row>
    <row r="365" spans="1:9" x14ac:dyDescent="0.25">
      <c r="A365" s="340" t="s">
        <v>2</v>
      </c>
      <c r="B365" s="335"/>
      <c r="C365" s="1" t="s">
        <v>2</v>
      </c>
      <c r="D365" s="1" t="s">
        <v>2</v>
      </c>
      <c r="E365" s="1" t="s">
        <v>2</v>
      </c>
      <c r="F365" s="1" t="s">
        <v>2</v>
      </c>
      <c r="G365" s="1" t="s">
        <v>2</v>
      </c>
      <c r="H365" s="340" t="s">
        <v>2</v>
      </c>
      <c r="I365" s="335"/>
    </row>
    <row r="366" spans="1:9" x14ac:dyDescent="0.25">
      <c r="A366" s="340" t="s">
        <v>2556</v>
      </c>
      <c r="B366" s="335"/>
      <c r="C366" s="1" t="s">
        <v>2</v>
      </c>
      <c r="D366" s="4">
        <v>200000</v>
      </c>
      <c r="E366" s="4">
        <v>200000</v>
      </c>
      <c r="F366" s="4">
        <v>670000</v>
      </c>
      <c r="G366" s="4">
        <v>0</v>
      </c>
      <c r="H366" s="343">
        <v>0</v>
      </c>
      <c r="I366" s="335"/>
    </row>
    <row r="367" spans="1:9" x14ac:dyDescent="0.25">
      <c r="A367" s="340" t="s">
        <v>2</v>
      </c>
      <c r="B367" s="335"/>
      <c r="C367" s="1" t="s">
        <v>2</v>
      </c>
      <c r="D367" s="1" t="s">
        <v>2</v>
      </c>
      <c r="E367" s="1" t="s">
        <v>2</v>
      </c>
      <c r="F367" s="1" t="s">
        <v>2</v>
      </c>
      <c r="G367" s="1" t="s">
        <v>2</v>
      </c>
      <c r="H367" s="340" t="s">
        <v>2</v>
      </c>
      <c r="I367" s="335"/>
    </row>
    <row r="368" spans="1:9" x14ac:dyDescent="0.25">
      <c r="A368" s="340" t="s">
        <v>755</v>
      </c>
      <c r="B368" s="335"/>
      <c r="C368" s="1" t="s">
        <v>2</v>
      </c>
      <c r="D368" s="4">
        <v>207884.04</v>
      </c>
      <c r="E368" s="4">
        <v>203713.99</v>
      </c>
      <c r="F368" s="4">
        <v>671072.47</v>
      </c>
      <c r="G368" s="4">
        <v>2924.68</v>
      </c>
      <c r="H368" s="343">
        <v>0</v>
      </c>
      <c r="I368" s="335"/>
    </row>
    <row r="369" spans="1:9" x14ac:dyDescent="0.25">
      <c r="A369" s="340" t="s">
        <v>2</v>
      </c>
      <c r="B369" s="335"/>
      <c r="C369" s="1" t="s">
        <v>2</v>
      </c>
      <c r="D369" s="1" t="s">
        <v>2</v>
      </c>
      <c r="E369" s="1" t="s">
        <v>2</v>
      </c>
      <c r="F369" s="1" t="s">
        <v>2</v>
      </c>
      <c r="G369" s="1" t="s">
        <v>2</v>
      </c>
      <c r="H369" s="340" t="s">
        <v>2</v>
      </c>
      <c r="I369" s="335"/>
    </row>
    <row r="370" spans="1:9" x14ac:dyDescent="0.25">
      <c r="A370" s="340" t="s">
        <v>756</v>
      </c>
      <c r="B370" s="335"/>
      <c r="C370" s="1" t="s">
        <v>2</v>
      </c>
    </row>
    <row r="371" spans="1:9" x14ac:dyDescent="0.25">
      <c r="A371" s="340" t="s">
        <v>2026</v>
      </c>
      <c r="B371" s="335"/>
      <c r="C371" s="1" t="s">
        <v>2</v>
      </c>
    </row>
    <row r="372" spans="1:9" x14ac:dyDescent="0.25">
      <c r="A372" s="340" t="s">
        <v>2027</v>
      </c>
      <c r="B372" s="335"/>
      <c r="C372" s="1" t="s">
        <v>2</v>
      </c>
    </row>
    <row r="373" spans="1:9" x14ac:dyDescent="0.25">
      <c r="A373" s="340" t="s">
        <v>2573</v>
      </c>
      <c r="B373" s="335"/>
      <c r="C373" s="1" t="s">
        <v>2</v>
      </c>
    </row>
    <row r="374" spans="1:9" x14ac:dyDescent="0.25">
      <c r="A374" s="340" t="s">
        <v>3388</v>
      </c>
      <c r="B374" s="335"/>
      <c r="C374" s="1" t="s">
        <v>2</v>
      </c>
    </row>
    <row r="375" spans="1:9" x14ac:dyDescent="0.25">
      <c r="A375" s="341" t="s">
        <v>2574</v>
      </c>
      <c r="B375" s="335"/>
      <c r="C375" s="2" t="s">
        <v>2575</v>
      </c>
      <c r="D375" s="3">
        <v>33816.410000000003</v>
      </c>
      <c r="E375" s="3">
        <v>45017.64</v>
      </c>
      <c r="F375" s="3">
        <v>67499.02</v>
      </c>
      <c r="G375" s="3">
        <v>112790.42</v>
      </c>
      <c r="H375" s="342">
        <v>0</v>
      </c>
      <c r="I375" s="335"/>
    </row>
    <row r="376" spans="1:9" x14ac:dyDescent="0.25">
      <c r="A376" s="341" t="s">
        <v>2576</v>
      </c>
      <c r="B376" s="335"/>
      <c r="C376" s="2" t="s">
        <v>2577</v>
      </c>
      <c r="D376" s="3">
        <v>2705421.62</v>
      </c>
      <c r="E376" s="3">
        <v>2606197.36</v>
      </c>
      <c r="F376" s="3">
        <v>2620588.41</v>
      </c>
      <c r="G376" s="3">
        <v>2552717.36</v>
      </c>
      <c r="H376" s="342">
        <v>0</v>
      </c>
      <c r="I376" s="335"/>
    </row>
    <row r="377" spans="1:9" x14ac:dyDescent="0.25">
      <c r="A377" s="340" t="s">
        <v>3387</v>
      </c>
      <c r="B377" s="335"/>
      <c r="C377" s="1" t="s">
        <v>2</v>
      </c>
      <c r="D377" s="4">
        <v>2739238.03</v>
      </c>
      <c r="E377" s="4">
        <v>2651215</v>
      </c>
      <c r="F377" s="4">
        <v>2688087.43</v>
      </c>
      <c r="G377" s="4">
        <v>2665507.7799999998</v>
      </c>
      <c r="H377" s="343">
        <v>0</v>
      </c>
      <c r="I377" s="335"/>
    </row>
    <row r="378" spans="1:9" x14ac:dyDescent="0.25">
      <c r="A378" s="340" t="s">
        <v>2</v>
      </c>
      <c r="B378" s="335"/>
      <c r="C378" s="1" t="s">
        <v>2</v>
      </c>
      <c r="D378" s="1" t="s">
        <v>2</v>
      </c>
      <c r="E378" s="1" t="s">
        <v>2</v>
      </c>
      <c r="F378" s="1" t="s">
        <v>2</v>
      </c>
      <c r="G378" s="1" t="s">
        <v>2</v>
      </c>
      <c r="H378" s="340" t="s">
        <v>2</v>
      </c>
      <c r="I378" s="335"/>
    </row>
    <row r="379" spans="1:9" x14ac:dyDescent="0.25">
      <c r="A379" s="340" t="s">
        <v>2578</v>
      </c>
      <c r="B379" s="335"/>
      <c r="C379" s="1" t="s">
        <v>2</v>
      </c>
      <c r="D379" s="4">
        <v>2739238.03</v>
      </c>
      <c r="E379" s="4">
        <v>2651215</v>
      </c>
      <c r="F379" s="4">
        <v>2688087.43</v>
      </c>
      <c r="G379" s="4">
        <v>2665507.7799999998</v>
      </c>
      <c r="H379" s="343">
        <v>0</v>
      </c>
      <c r="I379" s="335"/>
    </row>
    <row r="380" spans="1:9" x14ac:dyDescent="0.25">
      <c r="A380" s="340" t="s">
        <v>2</v>
      </c>
      <c r="B380" s="335"/>
      <c r="C380" s="1" t="s">
        <v>2</v>
      </c>
      <c r="D380" s="1" t="s">
        <v>2</v>
      </c>
      <c r="E380" s="1" t="s">
        <v>2</v>
      </c>
      <c r="F380" s="1" t="s">
        <v>2</v>
      </c>
      <c r="G380" s="1" t="s">
        <v>2</v>
      </c>
      <c r="H380" s="340" t="s">
        <v>2</v>
      </c>
      <c r="I380" s="335"/>
    </row>
    <row r="381" spans="1:9" x14ac:dyDescent="0.25">
      <c r="A381" s="340" t="s">
        <v>2046</v>
      </c>
      <c r="B381" s="335"/>
      <c r="C381" s="1" t="s">
        <v>2</v>
      </c>
      <c r="D381" s="4">
        <v>2739238.03</v>
      </c>
      <c r="E381" s="4">
        <v>2651215</v>
      </c>
      <c r="F381" s="4">
        <v>2688087.43</v>
      </c>
      <c r="G381" s="4">
        <v>2665507.7799999998</v>
      </c>
      <c r="H381" s="343">
        <v>0</v>
      </c>
      <c r="I381" s="335"/>
    </row>
    <row r="382" spans="1:9" x14ac:dyDescent="0.25">
      <c r="A382" s="340" t="s">
        <v>2</v>
      </c>
      <c r="B382" s="335"/>
      <c r="C382" s="1" t="s">
        <v>2</v>
      </c>
      <c r="D382" s="1" t="s">
        <v>2</v>
      </c>
      <c r="E382" s="1" t="s">
        <v>2</v>
      </c>
      <c r="F382" s="1" t="s">
        <v>2</v>
      </c>
      <c r="G382" s="1" t="s">
        <v>2</v>
      </c>
      <c r="H382" s="340" t="s">
        <v>2</v>
      </c>
      <c r="I382" s="335"/>
    </row>
    <row r="383" spans="1:9" x14ac:dyDescent="0.25">
      <c r="A383" s="340" t="s">
        <v>2175</v>
      </c>
      <c r="B383" s="335"/>
      <c r="C383" s="1" t="s">
        <v>2</v>
      </c>
    </row>
    <row r="384" spans="1:9" x14ac:dyDescent="0.25">
      <c r="A384" s="340" t="s">
        <v>2176</v>
      </c>
      <c r="B384" s="335"/>
      <c r="C384" s="1" t="s">
        <v>2</v>
      </c>
    </row>
    <row r="385" spans="1:9" x14ac:dyDescent="0.25">
      <c r="A385" s="340" t="s">
        <v>2564</v>
      </c>
      <c r="B385" s="335"/>
      <c r="C385" s="1" t="s">
        <v>2</v>
      </c>
    </row>
    <row r="386" spans="1:9" x14ac:dyDescent="0.25">
      <c r="A386" s="341" t="s">
        <v>2579</v>
      </c>
      <c r="B386" s="335"/>
      <c r="C386" s="2" t="s">
        <v>2409</v>
      </c>
      <c r="D386" s="3">
        <v>0</v>
      </c>
      <c r="E386" s="3">
        <v>0</v>
      </c>
      <c r="F386" s="3">
        <v>0</v>
      </c>
      <c r="G386" s="3">
        <v>5441.15</v>
      </c>
      <c r="H386" s="342">
        <v>0</v>
      </c>
      <c r="I386" s="335"/>
    </row>
    <row r="387" spans="1:9" x14ac:dyDescent="0.25">
      <c r="A387" s="340" t="s">
        <v>2580</v>
      </c>
      <c r="B387" s="335"/>
      <c r="C387" s="1" t="s">
        <v>2</v>
      </c>
      <c r="D387" s="4">
        <v>0</v>
      </c>
      <c r="E387" s="4">
        <v>0</v>
      </c>
      <c r="F387" s="4">
        <v>0</v>
      </c>
      <c r="G387" s="4">
        <v>5441.15</v>
      </c>
      <c r="H387" s="343">
        <v>0</v>
      </c>
      <c r="I387" s="335"/>
    </row>
    <row r="388" spans="1:9" x14ac:dyDescent="0.25">
      <c r="A388" s="340" t="s">
        <v>2</v>
      </c>
      <c r="B388" s="335"/>
      <c r="C388" s="1" t="s">
        <v>2</v>
      </c>
      <c r="D388" s="1" t="s">
        <v>2</v>
      </c>
      <c r="E388" s="1" t="s">
        <v>2</v>
      </c>
      <c r="F388" s="1" t="s">
        <v>2</v>
      </c>
      <c r="G388" s="1" t="s">
        <v>2</v>
      </c>
      <c r="H388" s="340" t="s">
        <v>2</v>
      </c>
      <c r="I388" s="335"/>
    </row>
    <row r="389" spans="1:9" x14ac:dyDescent="0.25">
      <c r="A389" s="340" t="s">
        <v>2179</v>
      </c>
      <c r="B389" s="335"/>
      <c r="C389" s="1" t="s">
        <v>2</v>
      </c>
      <c r="D389" s="4">
        <v>0</v>
      </c>
      <c r="E389" s="4">
        <v>0</v>
      </c>
      <c r="F389" s="4">
        <v>0</v>
      </c>
      <c r="G389" s="4">
        <v>5441.15</v>
      </c>
      <c r="H389" s="343">
        <v>0</v>
      </c>
      <c r="I389" s="335"/>
    </row>
    <row r="390" spans="1:9" x14ac:dyDescent="0.25">
      <c r="A390" s="340" t="s">
        <v>2</v>
      </c>
      <c r="B390" s="335"/>
      <c r="C390" s="1" t="s">
        <v>2</v>
      </c>
      <c r="D390" s="1" t="s">
        <v>2</v>
      </c>
      <c r="E390" s="1" t="s">
        <v>2</v>
      </c>
      <c r="F390" s="1" t="s">
        <v>2</v>
      </c>
      <c r="G390" s="1" t="s">
        <v>2</v>
      </c>
      <c r="H390" s="340" t="s">
        <v>2</v>
      </c>
      <c r="I390" s="335"/>
    </row>
    <row r="391" spans="1:9" x14ac:dyDescent="0.25">
      <c r="A391" s="340" t="s">
        <v>2581</v>
      </c>
      <c r="B391" s="335"/>
      <c r="C391" s="1" t="s">
        <v>2</v>
      </c>
    </row>
    <row r="392" spans="1:9" x14ac:dyDescent="0.25">
      <c r="A392" s="340" t="s">
        <v>2582</v>
      </c>
      <c r="B392" s="335"/>
      <c r="C392" s="1" t="s">
        <v>2</v>
      </c>
    </row>
    <row r="393" spans="1:9" x14ac:dyDescent="0.25">
      <c r="A393" s="341" t="s">
        <v>2583</v>
      </c>
      <c r="B393" s="335"/>
      <c r="C393" s="2" t="s">
        <v>2584</v>
      </c>
      <c r="D393" s="3">
        <v>0</v>
      </c>
      <c r="E393" s="3">
        <v>0</v>
      </c>
      <c r="F393" s="3">
        <v>0</v>
      </c>
      <c r="G393" s="3">
        <v>0</v>
      </c>
      <c r="H393" s="342">
        <v>0</v>
      </c>
      <c r="I393" s="335"/>
    </row>
    <row r="394" spans="1:9" x14ac:dyDescent="0.25">
      <c r="A394" s="340" t="s">
        <v>2180</v>
      </c>
      <c r="B394" s="335"/>
      <c r="C394" s="1" t="s">
        <v>2</v>
      </c>
      <c r="D394" s="4">
        <v>0</v>
      </c>
      <c r="E394" s="4">
        <v>0</v>
      </c>
      <c r="F394" s="4">
        <v>0</v>
      </c>
      <c r="G394" s="4">
        <v>5441.15</v>
      </c>
      <c r="H394" s="343">
        <v>0</v>
      </c>
      <c r="I394" s="335"/>
    </row>
    <row r="395" spans="1:9" x14ac:dyDescent="0.25">
      <c r="A395" s="340" t="s">
        <v>2</v>
      </c>
      <c r="B395" s="335"/>
      <c r="C395" s="1" t="s">
        <v>2</v>
      </c>
      <c r="D395" s="1" t="s">
        <v>2</v>
      </c>
      <c r="E395" s="1" t="s">
        <v>2</v>
      </c>
      <c r="F395" s="1" t="s">
        <v>2</v>
      </c>
      <c r="G395" s="1" t="s">
        <v>2</v>
      </c>
      <c r="H395" s="340" t="s">
        <v>2</v>
      </c>
      <c r="I395" s="335"/>
    </row>
    <row r="396" spans="1:9" x14ac:dyDescent="0.25">
      <c r="A396" s="340" t="s">
        <v>3386</v>
      </c>
      <c r="B396" s="335"/>
      <c r="C396" s="1" t="s">
        <v>2</v>
      </c>
      <c r="D396" s="4">
        <v>0</v>
      </c>
      <c r="E396" s="4">
        <v>0</v>
      </c>
      <c r="F396" s="4">
        <v>0</v>
      </c>
      <c r="G396" s="4">
        <v>0</v>
      </c>
      <c r="H396" s="343">
        <v>0</v>
      </c>
      <c r="I396" s="335"/>
    </row>
    <row r="397" spans="1:9" x14ac:dyDescent="0.25">
      <c r="A397" s="340" t="s">
        <v>2</v>
      </c>
      <c r="B397" s="335"/>
      <c r="C397" s="1" t="s">
        <v>2</v>
      </c>
      <c r="D397" s="1" t="s">
        <v>2</v>
      </c>
      <c r="E397" s="1" t="s">
        <v>2</v>
      </c>
      <c r="F397" s="1" t="s">
        <v>2</v>
      </c>
      <c r="G397" s="1" t="s">
        <v>2</v>
      </c>
      <c r="H397" s="340" t="s">
        <v>2</v>
      </c>
      <c r="I397" s="335"/>
    </row>
    <row r="398" spans="1:9" x14ac:dyDescent="0.25">
      <c r="A398" s="340" t="s">
        <v>2585</v>
      </c>
      <c r="B398" s="335"/>
      <c r="C398" s="1" t="s">
        <v>2</v>
      </c>
      <c r="D398" s="4">
        <v>0</v>
      </c>
      <c r="E398" s="4">
        <v>0</v>
      </c>
      <c r="F398" s="4">
        <v>0</v>
      </c>
      <c r="G398" s="4">
        <v>0</v>
      </c>
      <c r="H398" s="343">
        <v>0</v>
      </c>
      <c r="I398" s="335"/>
    </row>
    <row r="399" spans="1:9" x14ac:dyDescent="0.25">
      <c r="A399" s="340" t="s">
        <v>2</v>
      </c>
      <c r="B399" s="335"/>
      <c r="C399" s="1" t="s">
        <v>2</v>
      </c>
      <c r="D399" s="1" t="s">
        <v>2</v>
      </c>
      <c r="E399" s="1" t="s">
        <v>2</v>
      </c>
      <c r="F399" s="1" t="s">
        <v>2</v>
      </c>
      <c r="G399" s="1" t="s">
        <v>2</v>
      </c>
      <c r="H399" s="340" t="s">
        <v>2</v>
      </c>
      <c r="I399" s="335"/>
    </row>
    <row r="400" spans="1:9" x14ac:dyDescent="0.25">
      <c r="A400" s="341" t="s">
        <v>2586</v>
      </c>
      <c r="B400" s="335"/>
      <c r="C400" s="2" t="s">
        <v>2587</v>
      </c>
      <c r="D400" s="3">
        <v>0</v>
      </c>
      <c r="E400" s="3">
        <v>0</v>
      </c>
      <c r="F400" s="3">
        <v>0</v>
      </c>
      <c r="G400" s="3">
        <v>0</v>
      </c>
      <c r="H400" s="342">
        <v>0</v>
      </c>
      <c r="I400" s="335"/>
    </row>
    <row r="401" spans="1:9" x14ac:dyDescent="0.25">
      <c r="A401" s="341" t="s">
        <v>2588</v>
      </c>
      <c r="B401" s="335"/>
      <c r="C401" s="2" t="s">
        <v>2589</v>
      </c>
      <c r="D401" s="3">
        <v>80000</v>
      </c>
      <c r="E401" s="3">
        <v>0</v>
      </c>
      <c r="F401" s="3">
        <v>0</v>
      </c>
      <c r="G401" s="3">
        <v>0</v>
      </c>
      <c r="H401" s="342">
        <v>0</v>
      </c>
      <c r="I401" s="335"/>
    </row>
    <row r="402" spans="1:9" x14ac:dyDescent="0.25">
      <c r="A402" s="340" t="s">
        <v>2047</v>
      </c>
      <c r="B402" s="335"/>
      <c r="C402" s="1" t="s">
        <v>2</v>
      </c>
      <c r="D402" s="4">
        <v>2819238.03</v>
      </c>
      <c r="E402" s="4">
        <v>2651215</v>
      </c>
      <c r="F402" s="4">
        <v>2688087.43</v>
      </c>
      <c r="G402" s="4">
        <v>2670948.9300000002</v>
      </c>
      <c r="H402" s="343">
        <v>0</v>
      </c>
      <c r="I402" s="335"/>
    </row>
    <row r="403" spans="1:9" x14ac:dyDescent="0.25">
      <c r="A403" s="340" t="s">
        <v>2</v>
      </c>
      <c r="B403" s="335"/>
      <c r="C403" s="1" t="s">
        <v>2</v>
      </c>
      <c r="D403" s="1" t="s">
        <v>2</v>
      </c>
      <c r="E403" s="1" t="s">
        <v>2</v>
      </c>
      <c r="F403" s="1" t="s">
        <v>2</v>
      </c>
      <c r="G403" s="1" t="s">
        <v>2</v>
      </c>
      <c r="H403" s="340" t="s">
        <v>2</v>
      </c>
      <c r="I403" s="335"/>
    </row>
    <row r="404" spans="1:9" x14ac:dyDescent="0.25">
      <c r="A404" s="340" t="s">
        <v>782</v>
      </c>
      <c r="B404" s="335"/>
      <c r="C404" s="1" t="s">
        <v>2</v>
      </c>
      <c r="D404" s="4">
        <v>2819238.03</v>
      </c>
      <c r="E404" s="4">
        <v>2651215</v>
      </c>
      <c r="F404" s="4">
        <v>2688087.43</v>
      </c>
      <c r="G404" s="4">
        <v>2670948.9300000002</v>
      </c>
      <c r="H404" s="343">
        <v>0</v>
      </c>
      <c r="I404" s="335"/>
    </row>
    <row r="405" spans="1:9" x14ac:dyDescent="0.25">
      <c r="A405" s="340" t="s">
        <v>2</v>
      </c>
      <c r="B405" s="335"/>
      <c r="C405" s="1" t="s">
        <v>2</v>
      </c>
      <c r="D405" s="1" t="s">
        <v>2</v>
      </c>
      <c r="E405" s="1" t="s">
        <v>2</v>
      </c>
      <c r="F405" s="1" t="s">
        <v>2</v>
      </c>
      <c r="G405" s="1" t="s">
        <v>2</v>
      </c>
      <c r="H405" s="340" t="s">
        <v>2</v>
      </c>
      <c r="I405" s="335"/>
    </row>
    <row r="406" spans="1:9" x14ac:dyDescent="0.25">
      <c r="A406" s="340" t="s">
        <v>783</v>
      </c>
      <c r="B406" s="335"/>
      <c r="C406" s="1" t="s">
        <v>2</v>
      </c>
    </row>
    <row r="407" spans="1:9" x14ac:dyDescent="0.25">
      <c r="A407" s="341" t="s">
        <v>2592</v>
      </c>
      <c r="B407" s="335"/>
      <c r="C407" s="2" t="s">
        <v>2593</v>
      </c>
      <c r="D407" s="3">
        <v>21030</v>
      </c>
      <c r="E407" s="3">
        <v>3320</v>
      </c>
      <c r="F407" s="3">
        <v>20745.09</v>
      </c>
      <c r="G407" s="3">
        <v>28405</v>
      </c>
      <c r="H407" s="342">
        <v>0</v>
      </c>
      <c r="I407" s="335"/>
    </row>
    <row r="408" spans="1:9" ht="24" x14ac:dyDescent="0.25">
      <c r="A408" s="341" t="s">
        <v>2594</v>
      </c>
      <c r="B408" s="335"/>
      <c r="C408" s="2" t="s">
        <v>2595</v>
      </c>
      <c r="D408" s="3">
        <v>0</v>
      </c>
      <c r="E408" s="3">
        <v>0</v>
      </c>
      <c r="F408" s="3">
        <v>0</v>
      </c>
      <c r="G408" s="3">
        <v>0</v>
      </c>
      <c r="H408" s="342">
        <v>0</v>
      </c>
      <c r="I408" s="335"/>
    </row>
    <row r="409" spans="1:9" x14ac:dyDescent="0.25">
      <c r="A409" s="341" t="s">
        <v>2596</v>
      </c>
      <c r="B409" s="335"/>
      <c r="C409" s="2" t="s">
        <v>2597</v>
      </c>
      <c r="D409" s="3">
        <v>0</v>
      </c>
      <c r="E409" s="3">
        <v>0</v>
      </c>
      <c r="F409" s="3">
        <v>0</v>
      </c>
      <c r="G409" s="3">
        <v>0</v>
      </c>
      <c r="H409" s="342">
        <v>0</v>
      </c>
      <c r="I409" s="335"/>
    </row>
    <row r="410" spans="1:9" x14ac:dyDescent="0.25">
      <c r="A410" s="341" t="s">
        <v>2598</v>
      </c>
      <c r="B410" s="335"/>
      <c r="C410" s="2" t="s">
        <v>2599</v>
      </c>
      <c r="D410" s="3">
        <v>0</v>
      </c>
      <c r="E410" s="3">
        <v>0</v>
      </c>
      <c r="F410" s="3">
        <v>0</v>
      </c>
      <c r="G410" s="3">
        <v>0</v>
      </c>
      <c r="H410" s="342">
        <v>0</v>
      </c>
      <c r="I410" s="335"/>
    </row>
    <row r="411" spans="1:9" x14ac:dyDescent="0.25">
      <c r="A411" s="341" t="s">
        <v>2600</v>
      </c>
      <c r="B411" s="335"/>
      <c r="C411" s="2" t="s">
        <v>2601</v>
      </c>
      <c r="D411" s="3">
        <v>35000</v>
      </c>
      <c r="E411" s="3">
        <v>20000</v>
      </c>
      <c r="F411" s="3">
        <v>0</v>
      </c>
      <c r="G411" s="3">
        <v>0</v>
      </c>
      <c r="H411" s="342">
        <v>0</v>
      </c>
      <c r="I411" s="335"/>
    </row>
    <row r="412" spans="1:9" x14ac:dyDescent="0.25">
      <c r="A412" s="341" t="s">
        <v>2602</v>
      </c>
      <c r="B412" s="335"/>
      <c r="C412" s="2" t="s">
        <v>2603</v>
      </c>
      <c r="D412" s="3">
        <v>0</v>
      </c>
      <c r="E412" s="3">
        <v>0</v>
      </c>
      <c r="F412" s="3">
        <v>0</v>
      </c>
      <c r="G412" s="3">
        <v>0</v>
      </c>
      <c r="H412" s="342">
        <v>0</v>
      </c>
      <c r="I412" s="335"/>
    </row>
    <row r="413" spans="1:9" x14ac:dyDescent="0.25">
      <c r="A413" s="341" t="s">
        <v>2604</v>
      </c>
      <c r="B413" s="335"/>
      <c r="C413" s="2" t="s">
        <v>2539</v>
      </c>
      <c r="D413" s="3">
        <v>12572.25</v>
      </c>
      <c r="E413" s="3">
        <v>3243.25</v>
      </c>
      <c r="F413" s="3">
        <v>9517.41</v>
      </c>
      <c r="G413" s="3">
        <v>8450</v>
      </c>
      <c r="H413" s="342">
        <v>0</v>
      </c>
      <c r="I413" s="335"/>
    </row>
    <row r="414" spans="1:9" x14ac:dyDescent="0.25">
      <c r="A414" s="340" t="s">
        <v>804</v>
      </c>
      <c r="B414" s="335"/>
      <c r="C414" s="1" t="s">
        <v>2</v>
      </c>
      <c r="D414" s="4">
        <v>68602.25</v>
      </c>
      <c r="E414" s="4">
        <v>26563.25</v>
      </c>
      <c r="F414" s="4">
        <v>30262.5</v>
      </c>
      <c r="G414" s="4">
        <v>36855</v>
      </c>
      <c r="H414" s="343">
        <v>0</v>
      </c>
      <c r="I414" s="335"/>
    </row>
    <row r="415" spans="1:9" x14ac:dyDescent="0.25">
      <c r="A415" s="340" t="s">
        <v>2</v>
      </c>
      <c r="B415" s="335"/>
      <c r="C415" s="1" t="s">
        <v>2</v>
      </c>
      <c r="D415" s="1" t="s">
        <v>2</v>
      </c>
      <c r="E415" s="1" t="s">
        <v>2</v>
      </c>
      <c r="F415" s="1" t="s">
        <v>2</v>
      </c>
      <c r="G415" s="1" t="s">
        <v>2</v>
      </c>
      <c r="H415" s="340" t="s">
        <v>2</v>
      </c>
      <c r="I415" s="335"/>
    </row>
    <row r="416" spans="1:9" x14ac:dyDescent="0.25">
      <c r="A416" s="340" t="s">
        <v>805</v>
      </c>
      <c r="B416" s="335"/>
      <c r="C416" s="1" t="s">
        <v>2</v>
      </c>
    </row>
    <row r="417" spans="1:9" x14ac:dyDescent="0.25">
      <c r="A417" s="340" t="s">
        <v>2026</v>
      </c>
      <c r="B417" s="335"/>
      <c r="C417" s="1" t="s">
        <v>2</v>
      </c>
    </row>
    <row r="418" spans="1:9" x14ac:dyDescent="0.25">
      <c r="A418" s="340" t="s">
        <v>2102</v>
      </c>
      <c r="B418" s="335"/>
      <c r="C418" s="1" t="s">
        <v>2</v>
      </c>
    </row>
    <row r="419" spans="1:9" x14ac:dyDescent="0.25">
      <c r="A419" s="340" t="s">
        <v>2111</v>
      </c>
      <c r="B419" s="335"/>
      <c r="C419" s="1" t="s">
        <v>2</v>
      </c>
    </row>
    <row r="420" spans="1:9" ht="24" x14ac:dyDescent="0.25">
      <c r="A420" s="341" t="s">
        <v>2607</v>
      </c>
      <c r="B420" s="335"/>
      <c r="C420" s="2" t="s">
        <v>2608</v>
      </c>
      <c r="D420" s="3">
        <v>0</v>
      </c>
      <c r="E420" s="3">
        <v>18486.59</v>
      </c>
      <c r="F420" s="3">
        <v>0</v>
      </c>
      <c r="G420" s="3">
        <v>0</v>
      </c>
      <c r="H420" s="342">
        <v>0</v>
      </c>
      <c r="I420" s="335"/>
    </row>
    <row r="421" spans="1:9" x14ac:dyDescent="0.25">
      <c r="A421" s="340" t="s">
        <v>3374</v>
      </c>
      <c r="B421" s="335"/>
      <c r="C421" s="1" t="s">
        <v>2</v>
      </c>
    </row>
    <row r="422" spans="1:9" x14ac:dyDescent="0.25">
      <c r="A422" s="340" t="s">
        <v>2609</v>
      </c>
      <c r="B422" s="335"/>
      <c r="C422" s="1" t="s">
        <v>2</v>
      </c>
    </row>
    <row r="423" spans="1:9" ht="24" x14ac:dyDescent="0.25">
      <c r="A423" s="341" t="s">
        <v>2610</v>
      </c>
      <c r="B423" s="335"/>
      <c r="C423" s="2" t="s">
        <v>2611</v>
      </c>
      <c r="D423" s="3">
        <v>0</v>
      </c>
      <c r="E423" s="3">
        <v>0</v>
      </c>
      <c r="F423" s="3">
        <v>0</v>
      </c>
      <c r="G423" s="3">
        <v>0</v>
      </c>
      <c r="H423" s="342">
        <v>0</v>
      </c>
      <c r="I423" s="335"/>
    </row>
    <row r="424" spans="1:9" x14ac:dyDescent="0.25">
      <c r="A424" s="340" t="s">
        <v>2612</v>
      </c>
      <c r="B424" s="335"/>
      <c r="C424" s="1" t="s">
        <v>2</v>
      </c>
      <c r="D424" s="4">
        <v>0</v>
      </c>
      <c r="E424" s="4">
        <v>0</v>
      </c>
      <c r="F424" s="4">
        <v>0</v>
      </c>
      <c r="G424" s="4">
        <v>0</v>
      </c>
      <c r="H424" s="343">
        <v>0</v>
      </c>
      <c r="I424" s="335"/>
    </row>
    <row r="425" spans="1:9" x14ac:dyDescent="0.25">
      <c r="A425" s="340" t="s">
        <v>2</v>
      </c>
      <c r="B425" s="335"/>
      <c r="C425" s="1" t="s">
        <v>2</v>
      </c>
      <c r="D425" s="1" t="s">
        <v>2</v>
      </c>
      <c r="E425" s="1" t="s">
        <v>2</v>
      </c>
      <c r="F425" s="1" t="s">
        <v>2</v>
      </c>
      <c r="G425" s="1" t="s">
        <v>2</v>
      </c>
      <c r="H425" s="340" t="s">
        <v>2</v>
      </c>
      <c r="I425" s="335"/>
    </row>
    <row r="426" spans="1:9" x14ac:dyDescent="0.25">
      <c r="A426" s="340" t="s">
        <v>3373</v>
      </c>
      <c r="B426" s="335"/>
      <c r="C426" s="1" t="s">
        <v>2</v>
      </c>
      <c r="D426" s="4">
        <v>0</v>
      </c>
      <c r="E426" s="4">
        <v>0</v>
      </c>
      <c r="F426" s="4">
        <v>0</v>
      </c>
      <c r="G426" s="4">
        <v>0</v>
      </c>
      <c r="H426" s="343">
        <v>0</v>
      </c>
      <c r="I426" s="335"/>
    </row>
    <row r="427" spans="1:9" x14ac:dyDescent="0.25">
      <c r="A427" s="340" t="s">
        <v>2</v>
      </c>
      <c r="B427" s="335"/>
      <c r="C427" s="1" t="s">
        <v>2</v>
      </c>
      <c r="D427" s="1" t="s">
        <v>2</v>
      </c>
      <c r="E427" s="1" t="s">
        <v>2</v>
      </c>
      <c r="F427" s="1" t="s">
        <v>2</v>
      </c>
      <c r="G427" s="1" t="s">
        <v>2</v>
      </c>
      <c r="H427" s="340" t="s">
        <v>2</v>
      </c>
      <c r="I427" s="335"/>
    </row>
    <row r="428" spans="1:9" x14ac:dyDescent="0.25">
      <c r="A428" s="341" t="s">
        <v>2613</v>
      </c>
      <c r="B428" s="335"/>
      <c r="C428" s="2" t="s">
        <v>2123</v>
      </c>
      <c r="D428" s="3">
        <v>0</v>
      </c>
      <c r="E428" s="3">
        <v>0</v>
      </c>
      <c r="F428" s="3">
        <v>1262.51</v>
      </c>
      <c r="G428" s="3">
        <v>0</v>
      </c>
      <c r="H428" s="342">
        <v>0</v>
      </c>
      <c r="I428" s="335"/>
    </row>
    <row r="429" spans="1:9" x14ac:dyDescent="0.25">
      <c r="A429" s="340" t="s">
        <v>2126</v>
      </c>
      <c r="B429" s="335"/>
      <c r="C429" s="1" t="s">
        <v>2</v>
      </c>
      <c r="D429" s="4">
        <v>0</v>
      </c>
      <c r="E429" s="4">
        <v>18486.59</v>
      </c>
      <c r="F429" s="4">
        <v>1262.51</v>
      </c>
      <c r="G429" s="4">
        <v>0</v>
      </c>
      <c r="H429" s="343">
        <v>0</v>
      </c>
      <c r="I429" s="335"/>
    </row>
    <row r="430" spans="1:9" x14ac:dyDescent="0.25">
      <c r="A430" s="340" t="s">
        <v>2</v>
      </c>
      <c r="B430" s="335"/>
      <c r="C430" s="1" t="s">
        <v>2</v>
      </c>
      <c r="D430" s="1" t="s">
        <v>2</v>
      </c>
      <c r="E430" s="1" t="s">
        <v>2</v>
      </c>
      <c r="F430" s="1" t="s">
        <v>2</v>
      </c>
      <c r="G430" s="1" t="s">
        <v>2</v>
      </c>
      <c r="H430" s="340" t="s">
        <v>2</v>
      </c>
      <c r="I430" s="335"/>
    </row>
    <row r="431" spans="1:9" x14ac:dyDescent="0.25">
      <c r="A431" s="340" t="s">
        <v>2127</v>
      </c>
      <c r="B431" s="335"/>
      <c r="C431" s="1" t="s">
        <v>2</v>
      </c>
    </row>
    <row r="432" spans="1:9" x14ac:dyDescent="0.25">
      <c r="A432" s="341" t="s">
        <v>2614</v>
      </c>
      <c r="B432" s="335"/>
      <c r="C432" s="2" t="s">
        <v>2615</v>
      </c>
      <c r="D432" s="3">
        <v>250</v>
      </c>
      <c r="E432" s="3">
        <v>0</v>
      </c>
      <c r="F432" s="3">
        <v>0</v>
      </c>
      <c r="G432" s="3">
        <v>0</v>
      </c>
      <c r="H432" s="342">
        <v>0</v>
      </c>
      <c r="I432" s="335"/>
    </row>
    <row r="433" spans="1:9" ht="24" x14ac:dyDescent="0.25">
      <c r="A433" s="341" t="s">
        <v>2616</v>
      </c>
      <c r="B433" s="335"/>
      <c r="C433" s="2" t="s">
        <v>2617</v>
      </c>
      <c r="D433" s="3">
        <v>0</v>
      </c>
      <c r="E433" s="3">
        <v>0</v>
      </c>
      <c r="F433" s="3">
        <v>0</v>
      </c>
      <c r="G433" s="3">
        <v>0</v>
      </c>
      <c r="H433" s="342">
        <v>0</v>
      </c>
      <c r="I433" s="335"/>
    </row>
    <row r="434" spans="1:9" x14ac:dyDescent="0.25">
      <c r="A434" s="341" t="s">
        <v>2618</v>
      </c>
      <c r="B434" s="335"/>
      <c r="C434" s="2" t="s">
        <v>2619</v>
      </c>
      <c r="D434" s="3">
        <v>0</v>
      </c>
      <c r="E434" s="3">
        <v>0</v>
      </c>
      <c r="F434" s="3">
        <v>0</v>
      </c>
      <c r="G434" s="3">
        <v>0</v>
      </c>
      <c r="H434" s="342">
        <v>0</v>
      </c>
      <c r="I434" s="335"/>
    </row>
    <row r="435" spans="1:9" ht="24" x14ac:dyDescent="0.25">
      <c r="A435" s="341" t="s">
        <v>2620</v>
      </c>
      <c r="B435" s="335"/>
      <c r="C435" s="2" t="s">
        <v>2621</v>
      </c>
      <c r="D435" s="3">
        <v>0</v>
      </c>
      <c r="E435" s="3">
        <v>0</v>
      </c>
      <c r="F435" s="3">
        <v>0</v>
      </c>
      <c r="G435" s="3">
        <v>0</v>
      </c>
      <c r="H435" s="342">
        <v>0</v>
      </c>
      <c r="I435" s="335"/>
    </row>
    <row r="436" spans="1:9" ht="24" x14ac:dyDescent="0.25">
      <c r="A436" s="341" t="s">
        <v>2622</v>
      </c>
      <c r="B436" s="335"/>
      <c r="C436" s="2" t="s">
        <v>2623</v>
      </c>
      <c r="D436" s="3">
        <v>535407.13</v>
      </c>
      <c r="E436" s="3">
        <v>0</v>
      </c>
      <c r="F436" s="3">
        <v>0</v>
      </c>
      <c r="G436" s="3">
        <v>0</v>
      </c>
      <c r="H436" s="342">
        <v>0</v>
      </c>
      <c r="I436" s="335"/>
    </row>
    <row r="437" spans="1:9" ht="24" x14ac:dyDescent="0.25">
      <c r="A437" s="341" t="s">
        <v>2624</v>
      </c>
      <c r="B437" s="335"/>
      <c r="C437" s="2" t="s">
        <v>2625</v>
      </c>
      <c r="D437" s="3">
        <v>0</v>
      </c>
      <c r="E437" s="3">
        <v>0</v>
      </c>
      <c r="F437" s="3">
        <v>0</v>
      </c>
      <c r="G437" s="3">
        <v>0</v>
      </c>
      <c r="H437" s="342">
        <v>0</v>
      </c>
      <c r="I437" s="335"/>
    </row>
    <row r="438" spans="1:9" ht="24" x14ac:dyDescent="0.25">
      <c r="A438" s="341" t="s">
        <v>2626</v>
      </c>
      <c r="B438" s="335"/>
      <c r="C438" s="2" t="s">
        <v>2627</v>
      </c>
      <c r="D438" s="3">
        <v>0</v>
      </c>
      <c r="E438" s="3">
        <v>0</v>
      </c>
      <c r="F438" s="3">
        <v>0</v>
      </c>
      <c r="G438" s="3">
        <v>0</v>
      </c>
      <c r="H438" s="342">
        <v>0</v>
      </c>
      <c r="I438" s="335"/>
    </row>
    <row r="439" spans="1:9" ht="24" x14ac:dyDescent="0.25">
      <c r="A439" s="341" t="s">
        <v>2628</v>
      </c>
      <c r="B439" s="335"/>
      <c r="C439" s="2" t="s">
        <v>2629</v>
      </c>
      <c r="D439" s="3">
        <v>3811.83</v>
      </c>
      <c r="E439" s="3">
        <v>95104.960000000006</v>
      </c>
      <c r="F439" s="3">
        <v>0</v>
      </c>
      <c r="G439" s="3">
        <v>0</v>
      </c>
      <c r="H439" s="342">
        <v>0</v>
      </c>
      <c r="I439" s="335"/>
    </row>
    <row r="440" spans="1:9" ht="24" x14ac:dyDescent="0.25">
      <c r="A440" s="341" t="s">
        <v>2630</v>
      </c>
      <c r="B440" s="335"/>
      <c r="C440" s="2" t="s">
        <v>2631</v>
      </c>
      <c r="D440" s="3">
        <v>9162.8799999999992</v>
      </c>
      <c r="E440" s="3">
        <v>0</v>
      </c>
      <c r="F440" s="3">
        <v>0</v>
      </c>
      <c r="G440" s="3">
        <v>0</v>
      </c>
      <c r="H440" s="342">
        <v>0</v>
      </c>
      <c r="I440" s="335"/>
    </row>
    <row r="441" spans="1:9" x14ac:dyDescent="0.25">
      <c r="A441" s="341" t="s">
        <v>2632</v>
      </c>
      <c r="B441" s="335"/>
      <c r="C441" s="2" t="s">
        <v>2633</v>
      </c>
      <c r="D441" s="3">
        <v>0</v>
      </c>
      <c r="E441" s="3">
        <v>0</v>
      </c>
      <c r="F441" s="3">
        <v>0</v>
      </c>
      <c r="G441" s="3">
        <v>0</v>
      </c>
      <c r="H441" s="342">
        <v>0</v>
      </c>
      <c r="I441" s="335"/>
    </row>
    <row r="442" spans="1:9" x14ac:dyDescent="0.25">
      <c r="A442" s="341" t="s">
        <v>2634</v>
      </c>
      <c r="B442" s="335"/>
      <c r="C442" s="2" t="s">
        <v>2635</v>
      </c>
      <c r="D442" s="3">
        <v>0</v>
      </c>
      <c r="E442" s="3">
        <v>0</v>
      </c>
      <c r="F442" s="3">
        <v>0</v>
      </c>
      <c r="G442" s="3">
        <v>0</v>
      </c>
      <c r="H442" s="342">
        <v>0</v>
      </c>
      <c r="I442" s="335"/>
    </row>
    <row r="443" spans="1:9" ht="24" x14ac:dyDescent="0.25">
      <c r="A443" s="341" t="s">
        <v>2636</v>
      </c>
      <c r="B443" s="335"/>
      <c r="C443" s="2" t="s">
        <v>2637</v>
      </c>
      <c r="D443" s="3">
        <v>6386.13</v>
      </c>
      <c r="E443" s="3">
        <v>0</v>
      </c>
      <c r="F443" s="3">
        <v>0</v>
      </c>
      <c r="G443" s="3">
        <v>0</v>
      </c>
      <c r="H443" s="342">
        <v>0</v>
      </c>
      <c r="I443" s="335"/>
    </row>
    <row r="444" spans="1:9" x14ac:dyDescent="0.25">
      <c r="A444" s="340" t="s">
        <v>2157</v>
      </c>
      <c r="B444" s="335"/>
      <c r="C444" s="1" t="s">
        <v>2</v>
      </c>
      <c r="D444" s="4">
        <v>555017.97</v>
      </c>
      <c r="E444" s="4">
        <v>95104.960000000006</v>
      </c>
      <c r="F444" s="4">
        <v>0</v>
      </c>
      <c r="G444" s="4">
        <v>0</v>
      </c>
      <c r="H444" s="343">
        <v>0</v>
      </c>
      <c r="I444" s="335"/>
    </row>
    <row r="445" spans="1:9" x14ac:dyDescent="0.25">
      <c r="A445" s="340" t="s">
        <v>2</v>
      </c>
      <c r="B445" s="335"/>
      <c r="C445" s="1" t="s">
        <v>2</v>
      </c>
      <c r="D445" s="1" t="s">
        <v>2</v>
      </c>
      <c r="E445" s="1" t="s">
        <v>2</v>
      </c>
      <c r="F445" s="1" t="s">
        <v>2</v>
      </c>
      <c r="G445" s="1" t="s">
        <v>2</v>
      </c>
      <c r="H445" s="340" t="s">
        <v>2</v>
      </c>
      <c r="I445" s="335"/>
    </row>
    <row r="446" spans="1:9" x14ac:dyDescent="0.25">
      <c r="A446" s="340" t="s">
        <v>2160</v>
      </c>
      <c r="B446" s="335"/>
      <c r="C446" s="1" t="s">
        <v>2</v>
      </c>
    </row>
    <row r="447" spans="1:9" x14ac:dyDescent="0.25">
      <c r="A447" s="341" t="s">
        <v>2638</v>
      </c>
      <c r="B447" s="335"/>
      <c r="C447" s="2" t="s">
        <v>2639</v>
      </c>
      <c r="D447" s="3">
        <v>18882.810000000001</v>
      </c>
      <c r="E447" s="3">
        <v>19493.48</v>
      </c>
      <c r="F447" s="3">
        <v>19694.060000000001</v>
      </c>
      <c r="G447" s="3">
        <v>15381.64</v>
      </c>
      <c r="H447" s="342">
        <v>0</v>
      </c>
      <c r="I447" s="335"/>
    </row>
    <row r="448" spans="1:9" x14ac:dyDescent="0.25">
      <c r="A448" s="341" t="s">
        <v>2640</v>
      </c>
      <c r="B448" s="335"/>
      <c r="C448" s="2" t="s">
        <v>2641</v>
      </c>
      <c r="D448" s="3">
        <v>271044.81</v>
      </c>
      <c r="E448" s="3">
        <v>246356.56</v>
      </c>
      <c r="F448" s="3">
        <v>262413.65999999997</v>
      </c>
      <c r="G448" s="3">
        <v>208704.22</v>
      </c>
      <c r="H448" s="342">
        <v>0</v>
      </c>
      <c r="I448" s="335"/>
    </row>
    <row r="449" spans="1:9" x14ac:dyDescent="0.25">
      <c r="A449" s="341" t="s">
        <v>2642</v>
      </c>
      <c r="B449" s="335"/>
      <c r="C449" s="2" t="s">
        <v>2643</v>
      </c>
      <c r="D449" s="3">
        <v>16522.64</v>
      </c>
      <c r="E449" s="3">
        <v>17056.97</v>
      </c>
      <c r="F449" s="3">
        <v>17232.48</v>
      </c>
      <c r="G449" s="3">
        <v>13459.09</v>
      </c>
      <c r="H449" s="342">
        <v>0</v>
      </c>
      <c r="I449" s="335"/>
    </row>
    <row r="450" spans="1:9" x14ac:dyDescent="0.25">
      <c r="A450" s="340" t="s">
        <v>2171</v>
      </c>
      <c r="B450" s="335"/>
      <c r="C450" s="1" t="s">
        <v>2</v>
      </c>
      <c r="D450" s="4">
        <v>306450.26</v>
      </c>
      <c r="E450" s="4">
        <v>282907.01</v>
      </c>
      <c r="F450" s="4">
        <v>299340.2</v>
      </c>
      <c r="G450" s="4">
        <v>237544.95</v>
      </c>
      <c r="H450" s="343">
        <v>0</v>
      </c>
      <c r="I450" s="335"/>
    </row>
    <row r="451" spans="1:9" x14ac:dyDescent="0.25">
      <c r="A451" s="340" t="s">
        <v>2</v>
      </c>
      <c r="B451" s="335"/>
      <c r="C451" s="1" t="s">
        <v>2</v>
      </c>
      <c r="D451" s="1" t="s">
        <v>2</v>
      </c>
      <c r="E451" s="1" t="s">
        <v>2</v>
      </c>
      <c r="F451" s="1" t="s">
        <v>2</v>
      </c>
      <c r="G451" s="1" t="s">
        <v>2</v>
      </c>
      <c r="H451" s="340" t="s">
        <v>2</v>
      </c>
      <c r="I451" s="335"/>
    </row>
    <row r="452" spans="1:9" x14ac:dyDescent="0.25">
      <c r="A452" s="340" t="s">
        <v>2644</v>
      </c>
      <c r="B452" s="335"/>
      <c r="C452" s="1" t="s">
        <v>2</v>
      </c>
    </row>
    <row r="453" spans="1:9" x14ac:dyDescent="0.25">
      <c r="A453" s="340" t="s">
        <v>2645</v>
      </c>
      <c r="B453" s="335"/>
      <c r="C453" s="1" t="s">
        <v>2</v>
      </c>
    </row>
    <row r="454" spans="1:9" ht="24" x14ac:dyDescent="0.25">
      <c r="A454" s="341" t="s">
        <v>2646</v>
      </c>
      <c r="B454" s="335"/>
      <c r="C454" s="2" t="s">
        <v>2647</v>
      </c>
      <c r="D454" s="3">
        <v>0</v>
      </c>
      <c r="E454" s="3">
        <v>0</v>
      </c>
      <c r="F454" s="3">
        <v>0</v>
      </c>
      <c r="G454" s="3">
        <v>0</v>
      </c>
      <c r="H454" s="342">
        <v>0</v>
      </c>
      <c r="I454" s="335"/>
    </row>
    <row r="455" spans="1:9" x14ac:dyDescent="0.25">
      <c r="A455" s="341" t="s">
        <v>2648</v>
      </c>
      <c r="B455" s="335"/>
      <c r="C455" s="2" t="s">
        <v>2649</v>
      </c>
      <c r="D455" s="3">
        <v>0</v>
      </c>
      <c r="E455" s="3">
        <v>0</v>
      </c>
      <c r="F455" s="3">
        <v>0</v>
      </c>
      <c r="G455" s="3">
        <v>0</v>
      </c>
      <c r="H455" s="342">
        <v>0</v>
      </c>
      <c r="I455" s="335"/>
    </row>
    <row r="456" spans="1:9" x14ac:dyDescent="0.25">
      <c r="A456" s="340" t="s">
        <v>2650</v>
      </c>
      <c r="B456" s="335"/>
      <c r="C456" s="1" t="s">
        <v>2</v>
      </c>
      <c r="D456" s="4">
        <v>0</v>
      </c>
      <c r="E456" s="4">
        <v>0</v>
      </c>
      <c r="F456" s="4">
        <v>0</v>
      </c>
      <c r="G456" s="4">
        <v>0</v>
      </c>
      <c r="H456" s="343">
        <v>0</v>
      </c>
      <c r="I456" s="335"/>
    </row>
    <row r="457" spans="1:9" x14ac:dyDescent="0.25">
      <c r="A457" s="340" t="s">
        <v>2</v>
      </c>
      <c r="B457" s="335"/>
      <c r="C457" s="1" t="s">
        <v>2</v>
      </c>
      <c r="D457" s="1" t="s">
        <v>2</v>
      </c>
      <c r="E457" s="1" t="s">
        <v>2</v>
      </c>
      <c r="F457" s="1" t="s">
        <v>2</v>
      </c>
      <c r="G457" s="1" t="s">
        <v>2</v>
      </c>
      <c r="H457" s="340" t="s">
        <v>2</v>
      </c>
      <c r="I457" s="335"/>
    </row>
    <row r="458" spans="1:9" x14ac:dyDescent="0.25">
      <c r="A458" s="340" t="s">
        <v>3385</v>
      </c>
      <c r="B458" s="335"/>
      <c r="C458" s="1" t="s">
        <v>2</v>
      </c>
      <c r="D458" s="4">
        <v>0</v>
      </c>
      <c r="E458" s="4">
        <v>0</v>
      </c>
      <c r="F458" s="4">
        <v>0</v>
      </c>
      <c r="G458" s="4">
        <v>0</v>
      </c>
      <c r="H458" s="343">
        <v>0</v>
      </c>
      <c r="I458" s="335"/>
    </row>
    <row r="459" spans="1:9" x14ac:dyDescent="0.25">
      <c r="A459" s="340" t="s">
        <v>2</v>
      </c>
      <c r="B459" s="335"/>
      <c r="C459" s="1" t="s">
        <v>2</v>
      </c>
      <c r="D459" s="1" t="s">
        <v>2</v>
      </c>
      <c r="E459" s="1" t="s">
        <v>2</v>
      </c>
      <c r="F459" s="1" t="s">
        <v>2</v>
      </c>
      <c r="G459" s="1" t="s">
        <v>2</v>
      </c>
      <c r="H459" s="340" t="s">
        <v>2</v>
      </c>
      <c r="I459" s="335"/>
    </row>
    <row r="460" spans="1:9" x14ac:dyDescent="0.25">
      <c r="A460" s="340" t="s">
        <v>2174</v>
      </c>
      <c r="B460" s="335"/>
      <c r="C460" s="1" t="s">
        <v>2</v>
      </c>
      <c r="D460" s="4">
        <v>861468.23</v>
      </c>
      <c r="E460" s="4">
        <v>396498.56</v>
      </c>
      <c r="F460" s="4">
        <v>300602.71000000002</v>
      </c>
      <c r="G460" s="4">
        <v>237544.95</v>
      </c>
      <c r="H460" s="343">
        <v>0</v>
      </c>
      <c r="I460" s="335"/>
    </row>
    <row r="461" spans="1:9" x14ac:dyDescent="0.25">
      <c r="A461" s="340" t="s">
        <v>2</v>
      </c>
      <c r="B461" s="335"/>
      <c r="C461" s="1" t="s">
        <v>2</v>
      </c>
      <c r="D461" s="1" t="s">
        <v>2</v>
      </c>
      <c r="E461" s="1" t="s">
        <v>2</v>
      </c>
      <c r="F461" s="1" t="s">
        <v>2</v>
      </c>
      <c r="G461" s="1" t="s">
        <v>2</v>
      </c>
      <c r="H461" s="340" t="s">
        <v>2</v>
      </c>
      <c r="I461" s="335"/>
    </row>
    <row r="462" spans="1:9" x14ac:dyDescent="0.25">
      <c r="A462" s="341" t="s">
        <v>2651</v>
      </c>
      <c r="B462" s="335"/>
      <c r="C462" s="2" t="s">
        <v>2652</v>
      </c>
      <c r="D462" s="3">
        <v>22600</v>
      </c>
      <c r="E462" s="3">
        <v>21800</v>
      </c>
      <c r="F462" s="3">
        <v>24600</v>
      </c>
      <c r="G462" s="3">
        <v>18000</v>
      </c>
      <c r="H462" s="342">
        <v>0</v>
      </c>
      <c r="I462" s="335"/>
    </row>
    <row r="463" spans="1:9" ht="24" x14ac:dyDescent="0.25">
      <c r="A463" s="341" t="s">
        <v>2653</v>
      </c>
      <c r="B463" s="335"/>
      <c r="C463" s="2" t="s">
        <v>2654</v>
      </c>
      <c r="D463" s="3">
        <v>-400</v>
      </c>
      <c r="E463" s="3">
        <v>0</v>
      </c>
      <c r="F463" s="3">
        <v>0</v>
      </c>
      <c r="G463" s="3">
        <v>0</v>
      </c>
      <c r="H463" s="342">
        <v>0</v>
      </c>
      <c r="I463" s="335"/>
    </row>
    <row r="464" spans="1:9" x14ac:dyDescent="0.25">
      <c r="A464" s="341" t="s">
        <v>2655</v>
      </c>
      <c r="B464" s="335"/>
      <c r="C464" s="2" t="s">
        <v>2656</v>
      </c>
      <c r="D464" s="3">
        <v>0</v>
      </c>
      <c r="E464" s="3">
        <v>0</v>
      </c>
      <c r="F464" s="3">
        <v>0</v>
      </c>
      <c r="G464" s="3">
        <v>0</v>
      </c>
      <c r="H464" s="342">
        <v>0</v>
      </c>
      <c r="I464" s="335"/>
    </row>
    <row r="465" spans="1:9" x14ac:dyDescent="0.25">
      <c r="A465" s="341" t="s">
        <v>2657</v>
      </c>
      <c r="B465" s="335"/>
      <c r="C465" s="2" t="s">
        <v>2652</v>
      </c>
      <c r="D465" s="3">
        <v>0</v>
      </c>
      <c r="E465" s="3">
        <v>0</v>
      </c>
      <c r="F465" s="3">
        <v>0</v>
      </c>
      <c r="G465" s="3">
        <v>0</v>
      </c>
      <c r="H465" s="342">
        <v>0</v>
      </c>
      <c r="I465" s="335"/>
    </row>
    <row r="466" spans="1:9" x14ac:dyDescent="0.25">
      <c r="A466" s="340" t="s">
        <v>2175</v>
      </c>
      <c r="B466" s="335"/>
      <c r="C466" s="1" t="s">
        <v>2</v>
      </c>
    </row>
    <row r="467" spans="1:9" x14ac:dyDescent="0.25">
      <c r="A467" s="340" t="s">
        <v>2176</v>
      </c>
      <c r="B467" s="335"/>
      <c r="C467" s="1" t="s">
        <v>2</v>
      </c>
    </row>
    <row r="468" spans="1:9" x14ac:dyDescent="0.25">
      <c r="A468" s="340" t="s">
        <v>2564</v>
      </c>
      <c r="B468" s="335"/>
      <c r="C468" s="1" t="s">
        <v>2</v>
      </c>
    </row>
    <row r="469" spans="1:9" x14ac:dyDescent="0.25">
      <c r="A469" s="341" t="s">
        <v>2658</v>
      </c>
      <c r="B469" s="335"/>
      <c r="C469" s="2" t="s">
        <v>2409</v>
      </c>
      <c r="D469" s="3">
        <v>0</v>
      </c>
      <c r="E469" s="3">
        <v>0</v>
      </c>
      <c r="F469" s="3">
        <v>0</v>
      </c>
      <c r="G469" s="3">
        <v>0</v>
      </c>
      <c r="H469" s="342">
        <v>0</v>
      </c>
      <c r="I469" s="335"/>
    </row>
    <row r="470" spans="1:9" x14ac:dyDescent="0.25">
      <c r="A470" s="340" t="s">
        <v>2580</v>
      </c>
      <c r="B470" s="335"/>
      <c r="C470" s="1" t="s">
        <v>2</v>
      </c>
      <c r="D470" s="4">
        <v>0</v>
      </c>
      <c r="E470" s="4">
        <v>0</v>
      </c>
      <c r="F470" s="4">
        <v>0</v>
      </c>
      <c r="G470" s="4">
        <v>0</v>
      </c>
      <c r="H470" s="343">
        <v>0</v>
      </c>
      <c r="I470" s="335"/>
    </row>
    <row r="471" spans="1:9" x14ac:dyDescent="0.25">
      <c r="A471" s="340" t="s">
        <v>2</v>
      </c>
      <c r="B471" s="335"/>
      <c r="C471" s="1" t="s">
        <v>2</v>
      </c>
      <c r="D471" s="1" t="s">
        <v>2</v>
      </c>
      <c r="E471" s="1" t="s">
        <v>2</v>
      </c>
      <c r="F471" s="1" t="s">
        <v>2</v>
      </c>
      <c r="G471" s="1" t="s">
        <v>2</v>
      </c>
      <c r="H471" s="340" t="s">
        <v>2</v>
      </c>
      <c r="I471" s="335"/>
    </row>
    <row r="472" spans="1:9" x14ac:dyDescent="0.25">
      <c r="A472" s="340" t="s">
        <v>2179</v>
      </c>
      <c r="B472" s="335"/>
      <c r="C472" s="1" t="s">
        <v>2</v>
      </c>
      <c r="D472" s="4">
        <v>0</v>
      </c>
      <c r="E472" s="4">
        <v>0</v>
      </c>
      <c r="F472" s="4">
        <v>0</v>
      </c>
      <c r="G472" s="4">
        <v>0</v>
      </c>
      <c r="H472" s="343">
        <v>0</v>
      </c>
      <c r="I472" s="335"/>
    </row>
    <row r="473" spans="1:9" x14ac:dyDescent="0.25">
      <c r="A473" s="340" t="s">
        <v>2</v>
      </c>
      <c r="B473" s="335"/>
      <c r="C473" s="1" t="s">
        <v>2</v>
      </c>
      <c r="D473" s="1" t="s">
        <v>2</v>
      </c>
      <c r="E473" s="1" t="s">
        <v>2</v>
      </c>
      <c r="F473" s="1" t="s">
        <v>2</v>
      </c>
      <c r="G473" s="1" t="s">
        <v>2</v>
      </c>
      <c r="H473" s="340" t="s">
        <v>2</v>
      </c>
      <c r="I473" s="335"/>
    </row>
    <row r="474" spans="1:9" x14ac:dyDescent="0.25">
      <c r="A474" s="341" t="s">
        <v>2659</v>
      </c>
      <c r="B474" s="335"/>
      <c r="C474" s="2" t="s">
        <v>2660</v>
      </c>
      <c r="D474" s="3">
        <v>0</v>
      </c>
      <c r="E474" s="3">
        <v>0</v>
      </c>
      <c r="F474" s="3">
        <v>0</v>
      </c>
      <c r="G474" s="3">
        <v>0</v>
      </c>
      <c r="H474" s="342">
        <v>0</v>
      </c>
      <c r="I474" s="335"/>
    </row>
    <row r="475" spans="1:9" x14ac:dyDescent="0.25">
      <c r="A475" s="340" t="s">
        <v>2581</v>
      </c>
      <c r="B475" s="335"/>
      <c r="C475" s="1" t="s">
        <v>2</v>
      </c>
    </row>
    <row r="476" spans="1:9" x14ac:dyDescent="0.25">
      <c r="A476" s="341" t="s">
        <v>2661</v>
      </c>
      <c r="B476" s="335"/>
      <c r="C476" s="2" t="s">
        <v>2662</v>
      </c>
      <c r="D476" s="3">
        <v>252</v>
      </c>
      <c r="E476" s="3">
        <v>0</v>
      </c>
      <c r="F476" s="3">
        <v>0</v>
      </c>
      <c r="G476" s="3">
        <v>0</v>
      </c>
      <c r="H476" s="342">
        <v>0</v>
      </c>
      <c r="I476" s="335"/>
    </row>
    <row r="477" spans="1:9" x14ac:dyDescent="0.25">
      <c r="A477" s="341" t="s">
        <v>2663</v>
      </c>
      <c r="B477" s="335"/>
      <c r="C477" s="2" t="s">
        <v>2664</v>
      </c>
      <c r="D477" s="3">
        <v>188.78</v>
      </c>
      <c r="E477" s="3">
        <v>0</v>
      </c>
      <c r="F477" s="3">
        <v>224.88</v>
      </c>
      <c r="G477" s="3">
        <v>0</v>
      </c>
      <c r="H477" s="342">
        <v>0</v>
      </c>
      <c r="I477" s="335"/>
    </row>
    <row r="478" spans="1:9" x14ac:dyDescent="0.25">
      <c r="A478" s="341" t="s">
        <v>2665</v>
      </c>
      <c r="B478" s="335"/>
      <c r="C478" s="2" t="s">
        <v>64</v>
      </c>
      <c r="D478" s="3">
        <v>8341.44</v>
      </c>
      <c r="E478" s="3">
        <v>5597.99</v>
      </c>
      <c r="F478" s="3">
        <v>353.5</v>
      </c>
      <c r="G478" s="3">
        <v>0</v>
      </c>
      <c r="H478" s="342">
        <v>0</v>
      </c>
      <c r="I478" s="335"/>
    </row>
    <row r="479" spans="1:9" x14ac:dyDescent="0.25">
      <c r="A479" s="340" t="s">
        <v>2585</v>
      </c>
      <c r="B479" s="335"/>
      <c r="C479" s="1" t="s">
        <v>2</v>
      </c>
      <c r="D479" s="4">
        <v>8782.2199999999993</v>
      </c>
      <c r="E479" s="4">
        <v>5597.99</v>
      </c>
      <c r="F479" s="4">
        <v>578.38</v>
      </c>
      <c r="G479" s="4">
        <v>0</v>
      </c>
      <c r="H479" s="343">
        <v>0</v>
      </c>
      <c r="I479" s="335"/>
    </row>
    <row r="480" spans="1:9" x14ac:dyDescent="0.25">
      <c r="A480" s="340" t="s">
        <v>2</v>
      </c>
      <c r="B480" s="335"/>
      <c r="C480" s="1" t="s">
        <v>2</v>
      </c>
      <c r="D480" s="1" t="s">
        <v>2</v>
      </c>
      <c r="E480" s="1" t="s">
        <v>2</v>
      </c>
      <c r="F480" s="1" t="s">
        <v>2</v>
      </c>
      <c r="G480" s="1" t="s">
        <v>2</v>
      </c>
      <c r="H480" s="340" t="s">
        <v>2</v>
      </c>
      <c r="I480" s="335"/>
    </row>
    <row r="481" spans="1:9" x14ac:dyDescent="0.25">
      <c r="A481" s="340" t="s">
        <v>2180</v>
      </c>
      <c r="B481" s="335"/>
      <c r="C481" s="1" t="s">
        <v>2</v>
      </c>
      <c r="D481" s="4">
        <v>8782.2199999999993</v>
      </c>
      <c r="E481" s="4">
        <v>5597.99</v>
      </c>
      <c r="F481" s="4">
        <v>578.38</v>
      </c>
      <c r="G481" s="4">
        <v>0</v>
      </c>
      <c r="H481" s="343">
        <v>0</v>
      </c>
      <c r="I481" s="335"/>
    </row>
    <row r="482" spans="1:9" x14ac:dyDescent="0.25">
      <c r="A482" s="340" t="s">
        <v>2</v>
      </c>
      <c r="B482" s="335"/>
      <c r="C482" s="1" t="s">
        <v>2</v>
      </c>
      <c r="D482" s="1" t="s">
        <v>2</v>
      </c>
      <c r="E482" s="1" t="s">
        <v>2</v>
      </c>
      <c r="F482" s="1" t="s">
        <v>2</v>
      </c>
      <c r="G482" s="1" t="s">
        <v>2</v>
      </c>
      <c r="H482" s="340" t="s">
        <v>2</v>
      </c>
      <c r="I482" s="335"/>
    </row>
    <row r="483" spans="1:9" x14ac:dyDescent="0.25">
      <c r="A483" s="340" t="s">
        <v>2553</v>
      </c>
      <c r="B483" s="335"/>
      <c r="C483" s="1" t="s">
        <v>2</v>
      </c>
    </row>
    <row r="484" spans="1:9" x14ac:dyDescent="0.25">
      <c r="A484" s="340" t="s">
        <v>2666</v>
      </c>
      <c r="B484" s="335"/>
      <c r="C484" s="1" t="s">
        <v>2</v>
      </c>
    </row>
    <row r="485" spans="1:9" x14ac:dyDescent="0.25">
      <c r="A485" s="340" t="s">
        <v>2667</v>
      </c>
      <c r="B485" s="335"/>
      <c r="C485" s="1" t="s">
        <v>2</v>
      </c>
    </row>
    <row r="486" spans="1:9" x14ac:dyDescent="0.25">
      <c r="A486" s="341" t="s">
        <v>2668</v>
      </c>
      <c r="B486" s="335"/>
      <c r="C486" s="2" t="s">
        <v>2669</v>
      </c>
      <c r="D486" s="3">
        <v>0</v>
      </c>
      <c r="E486" s="3">
        <v>69674.48</v>
      </c>
      <c r="F486" s="3">
        <v>9993.36</v>
      </c>
      <c r="G486" s="3">
        <v>0</v>
      </c>
      <c r="H486" s="342">
        <v>0</v>
      </c>
      <c r="I486" s="335"/>
    </row>
    <row r="487" spans="1:9" x14ac:dyDescent="0.25">
      <c r="A487" s="340" t="s">
        <v>2670</v>
      </c>
      <c r="B487" s="335"/>
      <c r="C487" s="1" t="s">
        <v>2</v>
      </c>
      <c r="D487" s="4">
        <v>0</v>
      </c>
      <c r="E487" s="4">
        <v>69674.48</v>
      </c>
      <c r="F487" s="4">
        <v>9993.36</v>
      </c>
      <c r="G487" s="4">
        <v>0</v>
      </c>
      <c r="H487" s="343">
        <v>0</v>
      </c>
      <c r="I487" s="335"/>
    </row>
    <row r="488" spans="1:9" x14ac:dyDescent="0.25">
      <c r="A488" s="340" t="s">
        <v>2</v>
      </c>
      <c r="B488" s="335"/>
      <c r="C488" s="1" t="s">
        <v>2</v>
      </c>
      <c r="D488" s="1" t="s">
        <v>2</v>
      </c>
      <c r="E488" s="1" t="s">
        <v>2</v>
      </c>
      <c r="F488" s="1" t="s">
        <v>2</v>
      </c>
      <c r="G488" s="1" t="s">
        <v>2</v>
      </c>
      <c r="H488" s="340" t="s">
        <v>2</v>
      </c>
      <c r="I488" s="335"/>
    </row>
    <row r="489" spans="1:9" x14ac:dyDescent="0.25">
      <c r="A489" s="340" t="s">
        <v>3165</v>
      </c>
      <c r="B489" s="335"/>
      <c r="C489" s="1" t="s">
        <v>2</v>
      </c>
      <c r="D489" s="4">
        <v>0</v>
      </c>
      <c r="E489" s="4">
        <v>69674.48</v>
      </c>
      <c r="F489" s="4">
        <v>9993.36</v>
      </c>
      <c r="G489" s="4">
        <v>0</v>
      </c>
      <c r="H489" s="343">
        <v>0</v>
      </c>
      <c r="I489" s="335"/>
    </row>
    <row r="490" spans="1:9" x14ac:dyDescent="0.25">
      <c r="A490" s="340" t="s">
        <v>2</v>
      </c>
      <c r="B490" s="335"/>
      <c r="C490" s="1" t="s">
        <v>2</v>
      </c>
      <c r="D490" s="1" t="s">
        <v>2</v>
      </c>
      <c r="E490" s="1" t="s">
        <v>2</v>
      </c>
      <c r="F490" s="1" t="s">
        <v>2</v>
      </c>
      <c r="G490" s="1" t="s">
        <v>2</v>
      </c>
      <c r="H490" s="340" t="s">
        <v>2</v>
      </c>
      <c r="I490" s="335"/>
    </row>
    <row r="491" spans="1:9" x14ac:dyDescent="0.25">
      <c r="A491" s="340" t="s">
        <v>3383</v>
      </c>
      <c r="B491" s="335"/>
      <c r="C491" s="1" t="s">
        <v>2</v>
      </c>
    </row>
    <row r="492" spans="1:9" x14ac:dyDescent="0.25">
      <c r="A492" s="341" t="s">
        <v>2671</v>
      </c>
      <c r="B492" s="335"/>
      <c r="C492" s="2" t="s">
        <v>2672</v>
      </c>
      <c r="D492" s="3">
        <v>0</v>
      </c>
      <c r="E492" s="3">
        <v>0</v>
      </c>
      <c r="F492" s="3">
        <v>212959.25</v>
      </c>
      <c r="G492" s="3">
        <v>127065.67</v>
      </c>
      <c r="H492" s="342">
        <v>0</v>
      </c>
      <c r="I492" s="335"/>
    </row>
    <row r="493" spans="1:9" x14ac:dyDescent="0.25">
      <c r="A493" s="341" t="s">
        <v>2673</v>
      </c>
      <c r="B493" s="335"/>
      <c r="C493" s="2" t="s">
        <v>2674</v>
      </c>
      <c r="D493" s="3">
        <v>375000</v>
      </c>
      <c r="E493" s="3">
        <v>860230.48</v>
      </c>
      <c r="F493" s="3">
        <v>770000</v>
      </c>
      <c r="G493" s="3">
        <v>262000</v>
      </c>
      <c r="H493" s="342">
        <v>0</v>
      </c>
      <c r="I493" s="335"/>
    </row>
    <row r="494" spans="1:9" x14ac:dyDescent="0.25">
      <c r="A494" s="341" t="s">
        <v>2675</v>
      </c>
      <c r="B494" s="335"/>
      <c r="C494" s="2" t="s">
        <v>2676</v>
      </c>
      <c r="D494" s="3">
        <v>0</v>
      </c>
      <c r="E494" s="3">
        <v>34630.550000000003</v>
      </c>
      <c r="F494" s="3">
        <v>0</v>
      </c>
      <c r="G494" s="3">
        <v>0</v>
      </c>
      <c r="H494" s="342">
        <v>0</v>
      </c>
      <c r="I494" s="335"/>
    </row>
    <row r="495" spans="1:9" ht="24" x14ac:dyDescent="0.25">
      <c r="A495" s="341" t="s">
        <v>2677</v>
      </c>
      <c r="B495" s="335"/>
      <c r="C495" s="2" t="s">
        <v>2678</v>
      </c>
      <c r="D495" s="3">
        <v>200000</v>
      </c>
      <c r="E495" s="3">
        <v>0</v>
      </c>
      <c r="F495" s="3">
        <v>0</v>
      </c>
      <c r="G495" s="3">
        <v>0</v>
      </c>
      <c r="H495" s="342">
        <v>0</v>
      </c>
      <c r="I495" s="335"/>
    </row>
    <row r="496" spans="1:9" ht="24" x14ac:dyDescent="0.25">
      <c r="A496" s="341" t="s">
        <v>2679</v>
      </c>
      <c r="B496" s="335"/>
      <c r="C496" s="2" t="s">
        <v>2680</v>
      </c>
      <c r="D496" s="3">
        <v>0</v>
      </c>
      <c r="E496" s="3">
        <v>0</v>
      </c>
      <c r="F496" s="3">
        <v>0</v>
      </c>
      <c r="G496" s="3">
        <v>0</v>
      </c>
      <c r="H496" s="342">
        <v>0</v>
      </c>
      <c r="I496" s="335"/>
    </row>
    <row r="497" spans="1:9" ht="24" x14ac:dyDescent="0.25">
      <c r="A497" s="341" t="s">
        <v>2681</v>
      </c>
      <c r="B497" s="335"/>
      <c r="C497" s="2" t="s">
        <v>2682</v>
      </c>
      <c r="D497" s="3">
        <v>0</v>
      </c>
      <c r="E497" s="3">
        <v>0</v>
      </c>
      <c r="F497" s="3">
        <v>0</v>
      </c>
      <c r="G497" s="3">
        <v>0</v>
      </c>
      <c r="H497" s="342">
        <v>0</v>
      </c>
      <c r="I497" s="335"/>
    </row>
    <row r="498" spans="1:9" x14ac:dyDescent="0.25">
      <c r="A498" s="341" t="s">
        <v>2683</v>
      </c>
      <c r="B498" s="335"/>
      <c r="C498" s="2" t="s">
        <v>2684</v>
      </c>
      <c r="D498" s="3">
        <v>0</v>
      </c>
      <c r="E498" s="3">
        <v>100000</v>
      </c>
      <c r="F498" s="3">
        <v>54774.81</v>
      </c>
      <c r="G498" s="3">
        <v>776.88</v>
      </c>
      <c r="H498" s="342">
        <v>0</v>
      </c>
      <c r="I498" s="335"/>
    </row>
    <row r="499" spans="1:9" x14ac:dyDescent="0.25">
      <c r="A499" s="341" t="s">
        <v>2685</v>
      </c>
      <c r="B499" s="335"/>
      <c r="C499" s="2" t="s">
        <v>2686</v>
      </c>
      <c r="D499" s="3">
        <v>0</v>
      </c>
      <c r="E499" s="3">
        <v>0</v>
      </c>
      <c r="F499" s="3">
        <v>0</v>
      </c>
      <c r="G499" s="3">
        <v>0</v>
      </c>
      <c r="H499" s="342">
        <v>0</v>
      </c>
      <c r="I499" s="335"/>
    </row>
    <row r="500" spans="1:9" ht="24" x14ac:dyDescent="0.25">
      <c r="A500" s="341" t="s">
        <v>2687</v>
      </c>
      <c r="B500" s="335"/>
      <c r="C500" s="2" t="s">
        <v>2688</v>
      </c>
      <c r="D500" s="3">
        <v>0</v>
      </c>
      <c r="E500" s="3">
        <v>0</v>
      </c>
      <c r="F500" s="3">
        <v>0</v>
      </c>
      <c r="G500" s="3">
        <v>0</v>
      </c>
      <c r="H500" s="342">
        <v>0</v>
      </c>
      <c r="I500" s="335"/>
    </row>
    <row r="501" spans="1:9" ht="24" x14ac:dyDescent="0.25">
      <c r="A501" s="341" t="s">
        <v>2689</v>
      </c>
      <c r="B501" s="335"/>
      <c r="C501" s="2" t="s">
        <v>2690</v>
      </c>
      <c r="D501" s="3">
        <v>0</v>
      </c>
      <c r="E501" s="3">
        <v>0</v>
      </c>
      <c r="F501" s="3">
        <v>0</v>
      </c>
      <c r="G501" s="3">
        <v>0</v>
      </c>
      <c r="H501" s="342">
        <v>0</v>
      </c>
      <c r="I501" s="335"/>
    </row>
    <row r="502" spans="1:9" x14ac:dyDescent="0.25">
      <c r="A502" s="340" t="s">
        <v>3378</v>
      </c>
      <c r="B502" s="335"/>
      <c r="C502" s="1" t="s">
        <v>2</v>
      </c>
      <c r="D502" s="4">
        <v>575000</v>
      </c>
      <c r="E502" s="4">
        <v>994861.03</v>
      </c>
      <c r="F502" s="4">
        <v>1037734.06</v>
      </c>
      <c r="G502" s="4">
        <v>389842.55</v>
      </c>
      <c r="H502" s="343">
        <v>0</v>
      </c>
      <c r="I502" s="335"/>
    </row>
    <row r="503" spans="1:9" x14ac:dyDescent="0.25">
      <c r="A503" s="340" t="s">
        <v>2</v>
      </c>
      <c r="B503" s="335"/>
      <c r="C503" s="1" t="s">
        <v>2</v>
      </c>
      <c r="D503" s="1" t="s">
        <v>2</v>
      </c>
      <c r="E503" s="1" t="s">
        <v>2</v>
      </c>
      <c r="F503" s="1" t="s">
        <v>2</v>
      </c>
      <c r="G503" s="1" t="s">
        <v>2</v>
      </c>
      <c r="H503" s="340" t="s">
        <v>2</v>
      </c>
      <c r="I503" s="335"/>
    </row>
    <row r="504" spans="1:9" x14ac:dyDescent="0.25">
      <c r="A504" s="340" t="s">
        <v>2047</v>
      </c>
      <c r="B504" s="335"/>
      <c r="C504" s="1" t="s">
        <v>2</v>
      </c>
      <c r="D504" s="4">
        <v>1467450.45</v>
      </c>
      <c r="E504" s="4">
        <v>1488432.06</v>
      </c>
      <c r="F504" s="4">
        <v>1373508.51</v>
      </c>
      <c r="G504" s="4">
        <v>645387.5</v>
      </c>
      <c r="H504" s="343">
        <v>0</v>
      </c>
      <c r="I504" s="335"/>
    </row>
    <row r="505" spans="1:9" x14ac:dyDescent="0.25">
      <c r="A505" s="340" t="s">
        <v>2</v>
      </c>
      <c r="B505" s="335"/>
      <c r="C505" s="1" t="s">
        <v>2</v>
      </c>
      <c r="D505" s="1" t="s">
        <v>2</v>
      </c>
      <c r="E505" s="1" t="s">
        <v>2</v>
      </c>
      <c r="F505" s="1" t="s">
        <v>2</v>
      </c>
      <c r="G505" s="1" t="s">
        <v>2</v>
      </c>
      <c r="H505" s="340" t="s">
        <v>2</v>
      </c>
      <c r="I505" s="335"/>
    </row>
    <row r="506" spans="1:9" x14ac:dyDescent="0.25">
      <c r="A506" s="340" t="s">
        <v>2556</v>
      </c>
      <c r="B506" s="335"/>
      <c r="C506" s="1" t="s">
        <v>2</v>
      </c>
      <c r="D506" s="4">
        <v>575000</v>
      </c>
      <c r="E506" s="4">
        <v>1064535.51</v>
      </c>
      <c r="F506" s="4">
        <v>1047727.42</v>
      </c>
      <c r="G506" s="4">
        <v>389842.55</v>
      </c>
      <c r="H506" s="343">
        <v>0</v>
      </c>
      <c r="I506" s="335"/>
    </row>
    <row r="507" spans="1:9" x14ac:dyDescent="0.25">
      <c r="A507" s="340" t="s">
        <v>2</v>
      </c>
      <c r="B507" s="335"/>
      <c r="C507" s="1" t="s">
        <v>2</v>
      </c>
      <c r="D507" s="1" t="s">
        <v>2</v>
      </c>
      <c r="E507" s="1" t="s">
        <v>2</v>
      </c>
      <c r="F507" s="1" t="s">
        <v>2</v>
      </c>
      <c r="G507" s="1" t="s">
        <v>2</v>
      </c>
      <c r="H507" s="340" t="s">
        <v>2</v>
      </c>
      <c r="I507" s="335"/>
    </row>
    <row r="508" spans="1:9" x14ac:dyDescent="0.25">
      <c r="A508" s="340" t="s">
        <v>1038</v>
      </c>
      <c r="B508" s="335"/>
      <c r="C508" s="1" t="s">
        <v>2</v>
      </c>
      <c r="D508" s="4">
        <v>1467450.45</v>
      </c>
      <c r="E508" s="4">
        <v>1488432.06</v>
      </c>
      <c r="F508" s="4">
        <v>1373508.51</v>
      </c>
      <c r="G508" s="4">
        <v>645387.5</v>
      </c>
      <c r="H508" s="343">
        <v>0</v>
      </c>
      <c r="I508" s="335"/>
    </row>
    <row r="509" spans="1:9" x14ac:dyDescent="0.25">
      <c r="A509" s="340" t="s">
        <v>2</v>
      </c>
      <c r="B509" s="335"/>
      <c r="C509" s="1" t="s">
        <v>2</v>
      </c>
      <c r="D509" s="1" t="s">
        <v>2</v>
      </c>
      <c r="E509" s="1" t="s">
        <v>2</v>
      </c>
      <c r="F509" s="1" t="s">
        <v>2</v>
      </c>
      <c r="G509" s="1" t="s">
        <v>2</v>
      </c>
      <c r="H509" s="340" t="s">
        <v>2</v>
      </c>
      <c r="I509" s="335"/>
    </row>
    <row r="510" spans="1:9" x14ac:dyDescent="0.25">
      <c r="A510" s="340" t="s">
        <v>1039</v>
      </c>
      <c r="B510" s="335"/>
      <c r="C510" s="1" t="s">
        <v>2</v>
      </c>
    </row>
    <row r="511" spans="1:9" x14ac:dyDescent="0.25">
      <c r="A511" s="340" t="s">
        <v>2026</v>
      </c>
      <c r="B511" s="335"/>
      <c r="C511" s="1" t="s">
        <v>2</v>
      </c>
    </row>
    <row r="512" spans="1:9" x14ac:dyDescent="0.25">
      <c r="A512" s="340" t="s">
        <v>2695</v>
      </c>
      <c r="B512" s="335"/>
      <c r="C512" s="1" t="s">
        <v>2</v>
      </c>
    </row>
    <row r="513" spans="1:9" x14ac:dyDescent="0.25">
      <c r="A513" s="341" t="s">
        <v>2696</v>
      </c>
      <c r="B513" s="335"/>
      <c r="C513" s="2" t="s">
        <v>2697</v>
      </c>
      <c r="D513" s="3">
        <v>303370.98</v>
      </c>
      <c r="E513" s="3">
        <v>278338.92</v>
      </c>
      <c r="F513" s="3">
        <v>162580.98000000001</v>
      </c>
      <c r="G513" s="3">
        <v>91153.79</v>
      </c>
      <c r="H513" s="342">
        <v>0</v>
      </c>
      <c r="I513" s="335"/>
    </row>
    <row r="514" spans="1:9" x14ac:dyDescent="0.25">
      <c r="A514" s="341" t="s">
        <v>2698</v>
      </c>
      <c r="B514" s="335"/>
      <c r="C514" s="2" t="s">
        <v>2699</v>
      </c>
      <c r="D514" s="3">
        <v>0</v>
      </c>
      <c r="E514" s="3">
        <v>0</v>
      </c>
      <c r="F514" s="3">
        <v>0</v>
      </c>
      <c r="G514" s="3">
        <v>0</v>
      </c>
      <c r="H514" s="342">
        <v>0</v>
      </c>
      <c r="I514" s="335"/>
    </row>
    <row r="515" spans="1:9" x14ac:dyDescent="0.25">
      <c r="A515" s="340" t="s">
        <v>2700</v>
      </c>
      <c r="B515" s="335"/>
      <c r="C515" s="1" t="s">
        <v>2</v>
      </c>
      <c r="D515" s="4">
        <v>303370.98</v>
      </c>
      <c r="E515" s="4">
        <v>278338.92</v>
      </c>
      <c r="F515" s="4">
        <v>162580.98000000001</v>
      </c>
      <c r="G515" s="4">
        <v>91153.79</v>
      </c>
      <c r="H515" s="343">
        <v>0</v>
      </c>
      <c r="I515" s="335"/>
    </row>
    <row r="516" spans="1:9" x14ac:dyDescent="0.25">
      <c r="A516" s="340" t="s">
        <v>2</v>
      </c>
      <c r="B516" s="335"/>
      <c r="C516" s="1" t="s">
        <v>2</v>
      </c>
      <c r="D516" s="1" t="s">
        <v>2</v>
      </c>
      <c r="E516" s="1" t="s">
        <v>2</v>
      </c>
      <c r="F516" s="1" t="s">
        <v>2</v>
      </c>
      <c r="G516" s="1" t="s">
        <v>2</v>
      </c>
      <c r="H516" s="340" t="s">
        <v>2</v>
      </c>
      <c r="I516" s="335"/>
    </row>
    <row r="517" spans="1:9" x14ac:dyDescent="0.25">
      <c r="A517" s="340" t="s">
        <v>2175</v>
      </c>
      <c r="B517" s="335"/>
      <c r="C517" s="1" t="s">
        <v>2</v>
      </c>
    </row>
    <row r="518" spans="1:9" x14ac:dyDescent="0.25">
      <c r="A518" s="340" t="s">
        <v>2176</v>
      </c>
      <c r="B518" s="335"/>
      <c r="C518" s="1" t="s">
        <v>2</v>
      </c>
    </row>
    <row r="519" spans="1:9" x14ac:dyDescent="0.25">
      <c r="A519" s="341" t="s">
        <v>2701</v>
      </c>
      <c r="B519" s="335"/>
      <c r="C519" s="2" t="s">
        <v>2409</v>
      </c>
      <c r="D519" s="3">
        <v>5363.21</v>
      </c>
      <c r="E519" s="3">
        <v>1500.43</v>
      </c>
      <c r="F519" s="3">
        <v>337.85</v>
      </c>
      <c r="G519" s="3">
        <v>730.18</v>
      </c>
      <c r="H519" s="342">
        <v>0</v>
      </c>
      <c r="I519" s="335"/>
    </row>
    <row r="520" spans="1:9" x14ac:dyDescent="0.25">
      <c r="A520" s="341" t="s">
        <v>2702</v>
      </c>
      <c r="B520" s="335"/>
      <c r="C520" s="2" t="s">
        <v>2703</v>
      </c>
      <c r="D520" s="3">
        <v>0</v>
      </c>
      <c r="E520" s="3">
        <v>0</v>
      </c>
      <c r="F520" s="3">
        <v>0</v>
      </c>
      <c r="G520" s="3">
        <v>0</v>
      </c>
      <c r="H520" s="342">
        <v>0</v>
      </c>
      <c r="I520" s="335"/>
    </row>
    <row r="521" spans="1:9" x14ac:dyDescent="0.25">
      <c r="A521" s="340" t="s">
        <v>2179</v>
      </c>
      <c r="B521" s="335"/>
      <c r="C521" s="1" t="s">
        <v>2</v>
      </c>
      <c r="D521" s="4">
        <v>5363.21</v>
      </c>
      <c r="E521" s="4">
        <v>1500.43</v>
      </c>
      <c r="F521" s="4">
        <v>337.85</v>
      </c>
      <c r="G521" s="4">
        <v>730.18</v>
      </c>
      <c r="H521" s="343">
        <v>0</v>
      </c>
      <c r="I521" s="335"/>
    </row>
    <row r="522" spans="1:9" x14ac:dyDescent="0.25">
      <c r="A522" s="340" t="s">
        <v>2</v>
      </c>
      <c r="B522" s="335"/>
      <c r="C522" s="1" t="s">
        <v>2</v>
      </c>
      <c r="D522" s="1" t="s">
        <v>2</v>
      </c>
      <c r="E522" s="1" t="s">
        <v>2</v>
      </c>
      <c r="F522" s="1" t="s">
        <v>2</v>
      </c>
      <c r="G522" s="1" t="s">
        <v>2</v>
      </c>
      <c r="H522" s="340" t="s">
        <v>2</v>
      </c>
      <c r="I522" s="335"/>
    </row>
    <row r="523" spans="1:9" x14ac:dyDescent="0.25">
      <c r="A523" s="340" t="s">
        <v>2180</v>
      </c>
      <c r="B523" s="335"/>
      <c r="C523" s="1" t="s">
        <v>2</v>
      </c>
      <c r="D523" s="4">
        <v>5363.21</v>
      </c>
      <c r="E523" s="4">
        <v>1500.43</v>
      </c>
      <c r="F523" s="4">
        <v>337.85</v>
      </c>
      <c r="G523" s="4">
        <v>730.18</v>
      </c>
      <c r="H523" s="343">
        <v>0</v>
      </c>
      <c r="I523" s="335"/>
    </row>
    <row r="524" spans="1:9" x14ac:dyDescent="0.25">
      <c r="A524" s="340" t="s">
        <v>2</v>
      </c>
      <c r="B524" s="335"/>
      <c r="C524" s="1" t="s">
        <v>2</v>
      </c>
      <c r="D524" s="1" t="s">
        <v>2</v>
      </c>
      <c r="E524" s="1" t="s">
        <v>2</v>
      </c>
      <c r="F524" s="1" t="s">
        <v>2</v>
      </c>
      <c r="G524" s="1" t="s">
        <v>2</v>
      </c>
      <c r="H524" s="340" t="s">
        <v>2</v>
      </c>
      <c r="I524" s="335"/>
    </row>
    <row r="525" spans="1:9" x14ac:dyDescent="0.25">
      <c r="A525" s="340" t="s">
        <v>2047</v>
      </c>
      <c r="B525" s="335"/>
      <c r="C525" s="1" t="s">
        <v>2</v>
      </c>
      <c r="D525" s="4">
        <v>308734.19</v>
      </c>
      <c r="E525" s="4">
        <v>279839.34999999998</v>
      </c>
      <c r="F525" s="4">
        <v>162918.82999999999</v>
      </c>
      <c r="G525" s="4">
        <v>91883.97</v>
      </c>
      <c r="H525" s="343">
        <v>0</v>
      </c>
      <c r="I525" s="335"/>
    </row>
    <row r="526" spans="1:9" x14ac:dyDescent="0.25">
      <c r="A526" s="340" t="s">
        <v>2</v>
      </c>
      <c r="B526" s="335"/>
      <c r="C526" s="1" t="s">
        <v>2</v>
      </c>
      <c r="D526" s="1" t="s">
        <v>2</v>
      </c>
      <c r="E526" s="1" t="s">
        <v>2</v>
      </c>
      <c r="F526" s="1" t="s">
        <v>2</v>
      </c>
      <c r="G526" s="1" t="s">
        <v>2</v>
      </c>
      <c r="H526" s="340" t="s">
        <v>2</v>
      </c>
      <c r="I526" s="335"/>
    </row>
    <row r="527" spans="1:9" x14ac:dyDescent="0.25">
      <c r="A527" s="340" t="s">
        <v>1048</v>
      </c>
      <c r="B527" s="335"/>
      <c r="C527" s="1" t="s">
        <v>2</v>
      </c>
      <c r="D527" s="4">
        <v>308734.19</v>
      </c>
      <c r="E527" s="4">
        <v>279839.34999999998</v>
      </c>
      <c r="F527" s="4">
        <v>162918.82999999999</v>
      </c>
      <c r="G527" s="4">
        <v>91883.97</v>
      </c>
      <c r="H527" s="343">
        <v>0</v>
      </c>
      <c r="I527" s="335"/>
    </row>
    <row r="528" spans="1:9" x14ac:dyDescent="0.25">
      <c r="A528" s="340" t="s">
        <v>2</v>
      </c>
      <c r="B528" s="335"/>
      <c r="C528" s="1" t="s">
        <v>2</v>
      </c>
      <c r="D528" s="1" t="s">
        <v>2</v>
      </c>
      <c r="E528" s="1" t="s">
        <v>2</v>
      </c>
      <c r="F528" s="1" t="s">
        <v>2</v>
      </c>
      <c r="G528" s="1" t="s">
        <v>2</v>
      </c>
      <c r="H528" s="340" t="s">
        <v>2</v>
      </c>
      <c r="I528" s="335"/>
    </row>
    <row r="529" spans="1:9" x14ac:dyDescent="0.25">
      <c r="A529" s="340" t="s">
        <v>1049</v>
      </c>
      <c r="B529" s="335"/>
      <c r="C529" s="1" t="s">
        <v>2</v>
      </c>
    </row>
    <row r="530" spans="1:9" x14ac:dyDescent="0.25">
      <c r="A530" s="340" t="s">
        <v>2026</v>
      </c>
      <c r="B530" s="335"/>
      <c r="C530" s="1" t="s">
        <v>2</v>
      </c>
    </row>
    <row r="531" spans="1:9" x14ac:dyDescent="0.25">
      <c r="A531" s="340" t="s">
        <v>2706</v>
      </c>
      <c r="B531" s="335"/>
      <c r="C531" s="1" t="s">
        <v>2</v>
      </c>
    </row>
    <row r="532" spans="1:9" x14ac:dyDescent="0.25">
      <c r="A532" s="340" t="s">
        <v>2707</v>
      </c>
      <c r="B532" s="335"/>
      <c r="C532" s="1" t="s">
        <v>2</v>
      </c>
    </row>
    <row r="533" spans="1:9" x14ac:dyDescent="0.25">
      <c r="A533" s="341" t="s">
        <v>2708</v>
      </c>
      <c r="B533" s="335"/>
      <c r="C533" s="2" t="s">
        <v>2709</v>
      </c>
      <c r="D533" s="3">
        <v>0</v>
      </c>
      <c r="E533" s="3">
        <v>0</v>
      </c>
      <c r="F533" s="3">
        <v>0</v>
      </c>
      <c r="G533" s="3">
        <v>0</v>
      </c>
      <c r="H533" s="342">
        <v>0</v>
      </c>
      <c r="I533" s="335"/>
    </row>
    <row r="534" spans="1:9" x14ac:dyDescent="0.25">
      <c r="A534" s="340" t="s">
        <v>2710</v>
      </c>
      <c r="B534" s="335"/>
      <c r="C534" s="1" t="s">
        <v>2</v>
      </c>
      <c r="D534" s="4">
        <v>0</v>
      </c>
      <c r="E534" s="4">
        <v>0</v>
      </c>
      <c r="F534" s="4">
        <v>0</v>
      </c>
      <c r="G534" s="4">
        <v>0</v>
      </c>
      <c r="H534" s="343">
        <v>0</v>
      </c>
      <c r="I534" s="335"/>
    </row>
    <row r="535" spans="1:9" x14ac:dyDescent="0.25">
      <c r="A535" s="340" t="s">
        <v>2</v>
      </c>
      <c r="B535" s="335"/>
      <c r="C535" s="1" t="s">
        <v>2</v>
      </c>
      <c r="D535" s="1" t="s">
        <v>2</v>
      </c>
      <c r="E535" s="1" t="s">
        <v>2</v>
      </c>
      <c r="F535" s="1" t="s">
        <v>2</v>
      </c>
      <c r="G535" s="1" t="s">
        <v>2</v>
      </c>
      <c r="H535" s="340" t="s">
        <v>2</v>
      </c>
      <c r="I535" s="335"/>
    </row>
    <row r="536" spans="1:9" x14ac:dyDescent="0.25">
      <c r="A536" s="340" t="s">
        <v>2711</v>
      </c>
      <c r="B536" s="335"/>
      <c r="C536" s="1" t="s">
        <v>2</v>
      </c>
    </row>
    <row r="537" spans="1:9" x14ac:dyDescent="0.25">
      <c r="A537" s="340" t="s">
        <v>2712</v>
      </c>
      <c r="B537" s="335"/>
      <c r="C537" s="1" t="s">
        <v>2</v>
      </c>
    </row>
    <row r="538" spans="1:9" x14ac:dyDescent="0.25">
      <c r="A538" s="341" t="s">
        <v>2713</v>
      </c>
      <c r="B538" s="335"/>
      <c r="C538" s="2" t="s">
        <v>2714</v>
      </c>
      <c r="D538" s="3">
        <v>949169.83</v>
      </c>
      <c r="E538" s="3">
        <v>636365.84</v>
      </c>
      <c r="F538" s="3">
        <v>521184.97</v>
      </c>
      <c r="G538" s="3">
        <v>346508</v>
      </c>
      <c r="H538" s="342">
        <v>0</v>
      </c>
      <c r="I538" s="335"/>
    </row>
    <row r="539" spans="1:9" x14ac:dyDescent="0.25">
      <c r="A539" s="341" t="s">
        <v>2715</v>
      </c>
      <c r="B539" s="335"/>
      <c r="C539" s="2" t="s">
        <v>2716</v>
      </c>
      <c r="D539" s="3">
        <v>33359</v>
      </c>
      <c r="E539" s="3">
        <v>0</v>
      </c>
      <c r="F539" s="3">
        <v>0</v>
      </c>
      <c r="G539" s="3">
        <v>0</v>
      </c>
      <c r="H539" s="342">
        <v>0</v>
      </c>
      <c r="I539" s="335"/>
    </row>
    <row r="540" spans="1:9" x14ac:dyDescent="0.25">
      <c r="A540" s="341" t="s">
        <v>2717</v>
      </c>
      <c r="B540" s="335"/>
      <c r="C540" s="2" t="s">
        <v>2718</v>
      </c>
      <c r="D540" s="3">
        <v>0</v>
      </c>
      <c r="E540" s="3">
        <v>0</v>
      </c>
      <c r="F540" s="3">
        <v>0</v>
      </c>
      <c r="G540" s="3">
        <v>0</v>
      </c>
      <c r="H540" s="342">
        <v>0</v>
      </c>
      <c r="I540" s="335"/>
    </row>
    <row r="541" spans="1:9" x14ac:dyDescent="0.25">
      <c r="A541" s="340" t="s">
        <v>2719</v>
      </c>
      <c r="B541" s="335"/>
      <c r="C541" s="1" t="s">
        <v>2</v>
      </c>
      <c r="D541" s="4">
        <v>982528.83</v>
      </c>
      <c r="E541" s="4">
        <v>636365.84</v>
      </c>
      <c r="F541" s="4">
        <v>521184.97</v>
      </c>
      <c r="G541" s="4">
        <v>346508</v>
      </c>
      <c r="H541" s="343">
        <v>0</v>
      </c>
      <c r="I541" s="335"/>
    </row>
    <row r="542" spans="1:9" x14ac:dyDescent="0.25">
      <c r="A542" s="340" t="s">
        <v>2</v>
      </c>
      <c r="B542" s="335"/>
      <c r="C542" s="1" t="s">
        <v>2</v>
      </c>
      <c r="D542" s="1" t="s">
        <v>2</v>
      </c>
      <c r="E542" s="1" t="s">
        <v>2</v>
      </c>
      <c r="F542" s="1" t="s">
        <v>2</v>
      </c>
      <c r="G542" s="1" t="s">
        <v>2</v>
      </c>
      <c r="H542" s="340" t="s">
        <v>2</v>
      </c>
      <c r="I542" s="335"/>
    </row>
    <row r="543" spans="1:9" x14ac:dyDescent="0.25">
      <c r="A543" s="340" t="s">
        <v>2720</v>
      </c>
      <c r="B543" s="335"/>
      <c r="C543" s="1" t="s">
        <v>2</v>
      </c>
      <c r="D543" s="4">
        <v>982528.83</v>
      </c>
      <c r="E543" s="4">
        <v>636365.84</v>
      </c>
      <c r="F543" s="4">
        <v>521184.97</v>
      </c>
      <c r="G543" s="4">
        <v>346508</v>
      </c>
      <c r="H543" s="343">
        <v>0</v>
      </c>
      <c r="I543" s="335"/>
    </row>
    <row r="544" spans="1:9" x14ac:dyDescent="0.25">
      <c r="A544" s="340" t="s">
        <v>2</v>
      </c>
      <c r="B544" s="335"/>
      <c r="C544" s="1" t="s">
        <v>2</v>
      </c>
      <c r="D544" s="1" t="s">
        <v>2</v>
      </c>
      <c r="E544" s="1" t="s">
        <v>2</v>
      </c>
      <c r="F544" s="1" t="s">
        <v>2</v>
      </c>
      <c r="G544" s="1" t="s">
        <v>2</v>
      </c>
      <c r="H544" s="340" t="s">
        <v>2</v>
      </c>
      <c r="I544" s="335"/>
    </row>
    <row r="545" spans="1:9" x14ac:dyDescent="0.25">
      <c r="A545" s="340" t="s">
        <v>2721</v>
      </c>
      <c r="B545" s="335"/>
      <c r="C545" s="1" t="s">
        <v>2</v>
      </c>
      <c r="D545" s="4">
        <v>982528.83</v>
      </c>
      <c r="E545" s="4">
        <v>636365.84</v>
      </c>
      <c r="F545" s="4">
        <v>521184.97</v>
      </c>
      <c r="G545" s="4">
        <v>346508</v>
      </c>
      <c r="H545" s="343">
        <v>0</v>
      </c>
      <c r="I545" s="335"/>
    </row>
    <row r="546" spans="1:9" x14ac:dyDescent="0.25">
      <c r="A546" s="340" t="s">
        <v>2</v>
      </c>
      <c r="B546" s="335"/>
      <c r="C546" s="1" t="s">
        <v>2</v>
      </c>
      <c r="D546" s="1" t="s">
        <v>2</v>
      </c>
      <c r="E546" s="1" t="s">
        <v>2</v>
      </c>
      <c r="F546" s="1" t="s">
        <v>2</v>
      </c>
      <c r="G546" s="1" t="s">
        <v>2</v>
      </c>
      <c r="H546" s="340" t="s">
        <v>2</v>
      </c>
      <c r="I546" s="335"/>
    </row>
    <row r="547" spans="1:9" x14ac:dyDescent="0.25">
      <c r="A547" s="340" t="s">
        <v>2175</v>
      </c>
      <c r="B547" s="335"/>
      <c r="C547" s="1" t="s">
        <v>2</v>
      </c>
    </row>
    <row r="548" spans="1:9" x14ac:dyDescent="0.25">
      <c r="A548" s="340" t="s">
        <v>2176</v>
      </c>
      <c r="B548" s="335"/>
      <c r="C548" s="1" t="s">
        <v>2</v>
      </c>
    </row>
    <row r="549" spans="1:9" x14ac:dyDescent="0.25">
      <c r="A549" s="341" t="s">
        <v>2722</v>
      </c>
      <c r="B549" s="335"/>
      <c r="C549" s="2" t="s">
        <v>2409</v>
      </c>
      <c r="D549" s="3">
        <v>3305.83</v>
      </c>
      <c r="E549" s="3">
        <v>1986.05</v>
      </c>
      <c r="F549" s="3">
        <v>876.19</v>
      </c>
      <c r="G549" s="3">
        <v>1836.88</v>
      </c>
      <c r="H549" s="342">
        <v>0</v>
      </c>
      <c r="I549" s="335"/>
    </row>
    <row r="550" spans="1:9" x14ac:dyDescent="0.25">
      <c r="A550" s="341" t="s">
        <v>2723</v>
      </c>
      <c r="B550" s="335"/>
      <c r="C550" s="2" t="s">
        <v>2703</v>
      </c>
      <c r="D550" s="3">
        <v>0</v>
      </c>
      <c r="E550" s="3">
        <v>0</v>
      </c>
      <c r="F550" s="3">
        <v>0</v>
      </c>
      <c r="G550" s="3">
        <v>0</v>
      </c>
      <c r="H550" s="342">
        <v>0</v>
      </c>
      <c r="I550" s="335"/>
    </row>
    <row r="551" spans="1:9" x14ac:dyDescent="0.25">
      <c r="A551" s="340" t="s">
        <v>2179</v>
      </c>
      <c r="B551" s="335"/>
      <c r="C551" s="1" t="s">
        <v>2</v>
      </c>
      <c r="D551" s="4">
        <v>3305.83</v>
      </c>
      <c r="E551" s="4">
        <v>1986.05</v>
      </c>
      <c r="F551" s="4">
        <v>876.19</v>
      </c>
      <c r="G551" s="4">
        <v>1836.88</v>
      </c>
      <c r="H551" s="343">
        <v>0</v>
      </c>
      <c r="I551" s="335"/>
    </row>
    <row r="552" spans="1:9" x14ac:dyDescent="0.25">
      <c r="A552" s="340" t="s">
        <v>2</v>
      </c>
      <c r="B552" s="335"/>
      <c r="C552" s="1" t="s">
        <v>2</v>
      </c>
      <c r="D552" s="1" t="s">
        <v>2</v>
      </c>
      <c r="E552" s="1" t="s">
        <v>2</v>
      </c>
      <c r="F552" s="1" t="s">
        <v>2</v>
      </c>
      <c r="G552" s="1" t="s">
        <v>2</v>
      </c>
      <c r="H552" s="340" t="s">
        <v>2</v>
      </c>
      <c r="I552" s="335"/>
    </row>
    <row r="553" spans="1:9" x14ac:dyDescent="0.25">
      <c r="A553" s="340" t="s">
        <v>2180</v>
      </c>
      <c r="B553" s="335"/>
      <c r="C553" s="1" t="s">
        <v>2</v>
      </c>
      <c r="D553" s="4">
        <v>3305.83</v>
      </c>
      <c r="E553" s="4">
        <v>1986.05</v>
      </c>
      <c r="F553" s="4">
        <v>876.19</v>
      </c>
      <c r="G553" s="4">
        <v>1836.88</v>
      </c>
      <c r="H553" s="343">
        <v>0</v>
      </c>
      <c r="I553" s="335"/>
    </row>
    <row r="554" spans="1:9" x14ac:dyDescent="0.25">
      <c r="A554" s="340" t="s">
        <v>2</v>
      </c>
      <c r="B554" s="335"/>
      <c r="C554" s="1" t="s">
        <v>2</v>
      </c>
      <c r="D554" s="1" t="s">
        <v>2</v>
      </c>
      <c r="E554" s="1" t="s">
        <v>2</v>
      </c>
      <c r="F554" s="1" t="s">
        <v>2</v>
      </c>
      <c r="G554" s="1" t="s">
        <v>2</v>
      </c>
      <c r="H554" s="340" t="s">
        <v>2</v>
      </c>
      <c r="I554" s="335"/>
    </row>
    <row r="555" spans="1:9" x14ac:dyDescent="0.25">
      <c r="A555" s="340" t="s">
        <v>2553</v>
      </c>
      <c r="B555" s="335"/>
      <c r="C555" s="1" t="s">
        <v>2</v>
      </c>
    </row>
    <row r="556" spans="1:9" x14ac:dyDescent="0.25">
      <c r="A556" s="340" t="s">
        <v>3384</v>
      </c>
      <c r="B556" s="335"/>
      <c r="C556" s="1" t="s">
        <v>2</v>
      </c>
    </row>
    <row r="557" spans="1:9" x14ac:dyDescent="0.25">
      <c r="A557" s="340" t="s">
        <v>3383</v>
      </c>
      <c r="B557" s="335"/>
      <c r="C557" s="1" t="s">
        <v>2</v>
      </c>
    </row>
    <row r="558" spans="1:9" x14ac:dyDescent="0.25">
      <c r="A558" s="340" t="s">
        <v>2724</v>
      </c>
      <c r="B558" s="335"/>
      <c r="C558" s="1" t="s">
        <v>2</v>
      </c>
    </row>
    <row r="559" spans="1:9" x14ac:dyDescent="0.25">
      <c r="A559" s="340" t="s">
        <v>3382</v>
      </c>
      <c r="B559" s="335"/>
      <c r="C559" s="1" t="s">
        <v>2</v>
      </c>
    </row>
    <row r="560" spans="1:9" x14ac:dyDescent="0.25">
      <c r="A560" s="340" t="s">
        <v>3381</v>
      </c>
      <c r="B560" s="335"/>
      <c r="C560" s="1" t="s">
        <v>2</v>
      </c>
    </row>
    <row r="561" spans="1:9" ht="24" x14ac:dyDescent="0.25">
      <c r="A561" s="341" t="s">
        <v>3380</v>
      </c>
      <c r="B561" s="335"/>
      <c r="C561" s="2" t="s">
        <v>3379</v>
      </c>
      <c r="D561" s="3">
        <v>910.95</v>
      </c>
      <c r="E561" s="3">
        <v>0</v>
      </c>
      <c r="F561" s="3">
        <v>0</v>
      </c>
      <c r="G561" s="3">
        <v>0</v>
      </c>
      <c r="H561" s="342">
        <v>0</v>
      </c>
      <c r="I561" s="335"/>
    </row>
    <row r="562" spans="1:9" x14ac:dyDescent="0.25">
      <c r="A562" s="340" t="s">
        <v>3378</v>
      </c>
      <c r="B562" s="335"/>
      <c r="C562" s="1" t="s">
        <v>2</v>
      </c>
      <c r="D562" s="4">
        <v>910.95</v>
      </c>
      <c r="E562" s="4">
        <v>0</v>
      </c>
      <c r="F562" s="4">
        <v>0</v>
      </c>
      <c r="G562" s="4">
        <v>0</v>
      </c>
      <c r="H562" s="343">
        <v>0</v>
      </c>
      <c r="I562" s="335"/>
    </row>
    <row r="563" spans="1:9" x14ac:dyDescent="0.25">
      <c r="A563" s="340" t="s">
        <v>2</v>
      </c>
      <c r="B563" s="335"/>
      <c r="C563" s="1" t="s">
        <v>2</v>
      </c>
      <c r="D563" s="1" t="s">
        <v>2</v>
      </c>
      <c r="E563" s="1" t="s">
        <v>2</v>
      </c>
      <c r="F563" s="1" t="s">
        <v>2</v>
      </c>
      <c r="G563" s="1" t="s">
        <v>2</v>
      </c>
      <c r="H563" s="340" t="s">
        <v>2</v>
      </c>
      <c r="I563" s="335"/>
    </row>
    <row r="564" spans="1:9" x14ac:dyDescent="0.25">
      <c r="A564" s="340" t="s">
        <v>3377</v>
      </c>
      <c r="B564" s="335"/>
      <c r="C564" s="1" t="s">
        <v>2</v>
      </c>
      <c r="D564" s="4">
        <v>910.95</v>
      </c>
      <c r="E564" s="4">
        <v>0</v>
      </c>
      <c r="F564" s="4">
        <v>0</v>
      </c>
      <c r="G564" s="4">
        <v>0</v>
      </c>
      <c r="H564" s="343">
        <v>0</v>
      </c>
      <c r="I564" s="335"/>
    </row>
    <row r="565" spans="1:9" x14ac:dyDescent="0.25">
      <c r="A565" s="340" t="s">
        <v>2</v>
      </c>
      <c r="B565" s="335"/>
      <c r="C565" s="1" t="s">
        <v>2</v>
      </c>
      <c r="D565" s="1" t="s">
        <v>2</v>
      </c>
      <c r="E565" s="1" t="s">
        <v>2</v>
      </c>
      <c r="F565" s="1" t="s">
        <v>2</v>
      </c>
      <c r="G565" s="1" t="s">
        <v>2</v>
      </c>
      <c r="H565" s="340" t="s">
        <v>2</v>
      </c>
      <c r="I565" s="335"/>
    </row>
    <row r="566" spans="1:9" x14ac:dyDescent="0.25">
      <c r="A566" s="340" t="s">
        <v>2725</v>
      </c>
      <c r="B566" s="335"/>
      <c r="C566" s="1" t="s">
        <v>2</v>
      </c>
      <c r="D566" s="4">
        <v>910.95</v>
      </c>
      <c r="E566" s="4">
        <v>0</v>
      </c>
      <c r="F566" s="4">
        <v>0</v>
      </c>
      <c r="G566" s="4">
        <v>0</v>
      </c>
      <c r="H566" s="343">
        <v>0</v>
      </c>
      <c r="I566" s="335"/>
    </row>
    <row r="567" spans="1:9" x14ac:dyDescent="0.25">
      <c r="A567" s="340" t="s">
        <v>2</v>
      </c>
      <c r="B567" s="335"/>
      <c r="C567" s="1" t="s">
        <v>2</v>
      </c>
      <c r="D567" s="1" t="s">
        <v>2</v>
      </c>
      <c r="E567" s="1" t="s">
        <v>2</v>
      </c>
      <c r="F567" s="1" t="s">
        <v>2</v>
      </c>
      <c r="G567" s="1" t="s">
        <v>2</v>
      </c>
      <c r="H567" s="340" t="s">
        <v>2</v>
      </c>
      <c r="I567" s="335"/>
    </row>
    <row r="568" spans="1:9" x14ac:dyDescent="0.25">
      <c r="A568" s="340" t="s">
        <v>3376</v>
      </c>
      <c r="B568" s="335"/>
      <c r="C568" s="1" t="s">
        <v>2</v>
      </c>
      <c r="D568" s="4">
        <v>910.95</v>
      </c>
      <c r="E568" s="4">
        <v>0</v>
      </c>
      <c r="F568" s="4">
        <v>0</v>
      </c>
      <c r="G568" s="4">
        <v>0</v>
      </c>
      <c r="H568" s="343">
        <v>0</v>
      </c>
      <c r="I568" s="335"/>
    </row>
    <row r="569" spans="1:9" x14ac:dyDescent="0.25">
      <c r="A569" s="340" t="s">
        <v>2</v>
      </c>
      <c r="B569" s="335"/>
      <c r="C569" s="1" t="s">
        <v>2</v>
      </c>
      <c r="D569" s="1" t="s">
        <v>2</v>
      </c>
      <c r="E569" s="1" t="s">
        <v>2</v>
      </c>
      <c r="F569" s="1" t="s">
        <v>2</v>
      </c>
      <c r="G569" s="1" t="s">
        <v>2</v>
      </c>
      <c r="H569" s="340" t="s">
        <v>2</v>
      </c>
      <c r="I569" s="335"/>
    </row>
    <row r="570" spans="1:9" x14ac:dyDescent="0.25">
      <c r="A570" s="340" t="s">
        <v>3375</v>
      </c>
      <c r="B570" s="335"/>
      <c r="C570" s="1" t="s">
        <v>2</v>
      </c>
      <c r="D570" s="4">
        <v>910.95</v>
      </c>
      <c r="E570" s="4">
        <v>0</v>
      </c>
      <c r="F570" s="4">
        <v>0</v>
      </c>
      <c r="G570" s="4">
        <v>0</v>
      </c>
      <c r="H570" s="343">
        <v>0</v>
      </c>
      <c r="I570" s="335"/>
    </row>
    <row r="571" spans="1:9" x14ac:dyDescent="0.25">
      <c r="A571" s="340" t="s">
        <v>2</v>
      </c>
      <c r="B571" s="335"/>
      <c r="C571" s="1" t="s">
        <v>2</v>
      </c>
      <c r="D571" s="1" t="s">
        <v>2</v>
      </c>
      <c r="E571" s="1" t="s">
        <v>2</v>
      </c>
      <c r="F571" s="1" t="s">
        <v>2</v>
      </c>
      <c r="G571" s="1" t="s">
        <v>2</v>
      </c>
      <c r="H571" s="340" t="s">
        <v>2</v>
      </c>
      <c r="I571" s="335"/>
    </row>
    <row r="572" spans="1:9" x14ac:dyDescent="0.25">
      <c r="A572" s="340" t="s">
        <v>2047</v>
      </c>
      <c r="B572" s="335"/>
      <c r="C572" s="1" t="s">
        <v>2</v>
      </c>
      <c r="D572" s="4">
        <v>986745.61</v>
      </c>
      <c r="E572" s="4">
        <v>638351.89</v>
      </c>
      <c r="F572" s="4">
        <v>522061.16</v>
      </c>
      <c r="G572" s="4">
        <v>348344.88</v>
      </c>
      <c r="H572" s="343">
        <v>0</v>
      </c>
      <c r="I572" s="335"/>
    </row>
    <row r="573" spans="1:9" x14ac:dyDescent="0.25">
      <c r="A573" s="340" t="s">
        <v>2</v>
      </c>
      <c r="B573" s="335"/>
      <c r="C573" s="1" t="s">
        <v>2</v>
      </c>
      <c r="D573" s="1" t="s">
        <v>2</v>
      </c>
      <c r="E573" s="1" t="s">
        <v>2</v>
      </c>
      <c r="F573" s="1" t="s">
        <v>2</v>
      </c>
      <c r="G573" s="1" t="s">
        <v>2</v>
      </c>
      <c r="H573" s="340" t="s">
        <v>2</v>
      </c>
      <c r="I573" s="335"/>
    </row>
    <row r="574" spans="1:9" x14ac:dyDescent="0.25">
      <c r="A574" s="340" t="s">
        <v>2556</v>
      </c>
      <c r="B574" s="335"/>
      <c r="C574" s="1" t="s">
        <v>2</v>
      </c>
      <c r="D574" s="4">
        <v>910.95</v>
      </c>
      <c r="E574" s="4">
        <v>0</v>
      </c>
      <c r="F574" s="4">
        <v>0</v>
      </c>
      <c r="G574" s="4">
        <v>0</v>
      </c>
      <c r="H574" s="343">
        <v>0</v>
      </c>
      <c r="I574" s="335"/>
    </row>
    <row r="575" spans="1:9" x14ac:dyDescent="0.25">
      <c r="A575" s="340" t="s">
        <v>2</v>
      </c>
      <c r="B575" s="335"/>
      <c r="C575" s="1" t="s">
        <v>2</v>
      </c>
      <c r="D575" s="1" t="s">
        <v>2</v>
      </c>
      <c r="E575" s="1" t="s">
        <v>2</v>
      </c>
      <c r="F575" s="1" t="s">
        <v>2</v>
      </c>
      <c r="G575" s="1" t="s">
        <v>2</v>
      </c>
      <c r="H575" s="340" t="s">
        <v>2</v>
      </c>
      <c r="I575" s="335"/>
    </row>
    <row r="576" spans="1:9" x14ac:dyDescent="0.25">
      <c r="A576" s="340" t="s">
        <v>1060</v>
      </c>
      <c r="B576" s="335"/>
      <c r="C576" s="1" t="s">
        <v>2</v>
      </c>
      <c r="D576" s="4">
        <v>986745.61</v>
      </c>
      <c r="E576" s="4">
        <v>638351.89</v>
      </c>
      <c r="F576" s="4">
        <v>522061.16</v>
      </c>
      <c r="G576" s="4">
        <v>348344.88</v>
      </c>
      <c r="H576" s="343">
        <v>0</v>
      </c>
      <c r="I576" s="335"/>
    </row>
    <row r="577" spans="1:9" x14ac:dyDescent="0.25">
      <c r="A577" s="340" t="s">
        <v>2</v>
      </c>
      <c r="B577" s="335"/>
      <c r="C577" s="1" t="s">
        <v>2</v>
      </c>
      <c r="D577" s="1" t="s">
        <v>2</v>
      </c>
      <c r="E577" s="1" t="s">
        <v>2</v>
      </c>
      <c r="F577" s="1" t="s">
        <v>2</v>
      </c>
      <c r="G577" s="1" t="s">
        <v>2</v>
      </c>
      <c r="H577" s="340" t="s">
        <v>2</v>
      </c>
      <c r="I577" s="335"/>
    </row>
    <row r="578" spans="1:9" x14ac:dyDescent="0.25">
      <c r="A578" s="340" t="s">
        <v>1061</v>
      </c>
      <c r="B578" s="335"/>
      <c r="C578" s="1" t="s">
        <v>2</v>
      </c>
    </row>
    <row r="579" spans="1:9" x14ac:dyDescent="0.25">
      <c r="A579" s="340" t="s">
        <v>2026</v>
      </c>
      <c r="B579" s="335"/>
      <c r="C579" s="1" t="s">
        <v>2</v>
      </c>
    </row>
    <row r="580" spans="1:9" x14ac:dyDescent="0.25">
      <c r="A580" s="340" t="s">
        <v>2102</v>
      </c>
      <c r="B580" s="335"/>
      <c r="C580" s="1" t="s">
        <v>2</v>
      </c>
    </row>
    <row r="581" spans="1:9" x14ac:dyDescent="0.25">
      <c r="A581" s="340" t="s">
        <v>2160</v>
      </c>
      <c r="B581" s="335"/>
      <c r="C581" s="1" t="s">
        <v>2</v>
      </c>
    </row>
    <row r="582" spans="1:9" x14ac:dyDescent="0.25">
      <c r="A582" s="341" t="s">
        <v>2728</v>
      </c>
      <c r="B582" s="335"/>
      <c r="C582" s="2" t="s">
        <v>2729</v>
      </c>
      <c r="D582" s="3">
        <v>4088.7</v>
      </c>
      <c r="E582" s="3">
        <v>4479.7700000000004</v>
      </c>
      <c r="F582" s="3">
        <v>4826.3999999999996</v>
      </c>
      <c r="G582" s="3">
        <v>3971.18</v>
      </c>
      <c r="H582" s="342">
        <v>0</v>
      </c>
      <c r="I582" s="335"/>
    </row>
    <row r="583" spans="1:9" x14ac:dyDescent="0.25">
      <c r="A583" s="341" t="s">
        <v>2730</v>
      </c>
      <c r="B583" s="335"/>
      <c r="C583" s="2" t="s">
        <v>2731</v>
      </c>
      <c r="D583" s="3">
        <v>14710.48</v>
      </c>
      <c r="E583" s="3">
        <v>16032.96</v>
      </c>
      <c r="F583" s="3">
        <v>17185.66</v>
      </c>
      <c r="G583" s="3">
        <v>14091.85</v>
      </c>
      <c r="H583" s="342">
        <v>0</v>
      </c>
      <c r="I583" s="335"/>
    </row>
    <row r="584" spans="1:9" x14ac:dyDescent="0.25">
      <c r="A584" s="340" t="s">
        <v>2171</v>
      </c>
      <c r="B584" s="335"/>
      <c r="C584" s="1" t="s">
        <v>2</v>
      </c>
      <c r="D584" s="4">
        <v>18799.18</v>
      </c>
      <c r="E584" s="4">
        <v>20512.73</v>
      </c>
      <c r="F584" s="4">
        <v>22012.06</v>
      </c>
      <c r="G584" s="4">
        <v>18063.03</v>
      </c>
      <c r="H584" s="343">
        <v>0</v>
      </c>
      <c r="I584" s="335"/>
    </row>
    <row r="585" spans="1:9" x14ac:dyDescent="0.25">
      <c r="A585" s="340" t="s">
        <v>2</v>
      </c>
      <c r="B585" s="335"/>
      <c r="C585" s="1" t="s">
        <v>2</v>
      </c>
      <c r="D585" s="1" t="s">
        <v>2</v>
      </c>
      <c r="E585" s="1" t="s">
        <v>2</v>
      </c>
      <c r="F585" s="1" t="s">
        <v>2</v>
      </c>
      <c r="G585" s="1" t="s">
        <v>2</v>
      </c>
      <c r="H585" s="340" t="s">
        <v>2</v>
      </c>
      <c r="I585" s="335"/>
    </row>
    <row r="586" spans="1:9" x14ac:dyDescent="0.25">
      <c r="A586" s="340" t="s">
        <v>2174</v>
      </c>
      <c r="B586" s="335"/>
      <c r="C586" s="1" t="s">
        <v>2</v>
      </c>
      <c r="D586" s="4">
        <v>18799.18</v>
      </c>
      <c r="E586" s="4">
        <v>20512.73</v>
      </c>
      <c r="F586" s="4">
        <v>22012.06</v>
      </c>
      <c r="G586" s="49">
        <v>18063.03</v>
      </c>
      <c r="H586" s="343">
        <v>0</v>
      </c>
      <c r="I586" s="335"/>
    </row>
    <row r="587" spans="1:9" x14ac:dyDescent="0.25">
      <c r="A587" s="340" t="s">
        <v>2</v>
      </c>
      <c r="B587" s="335"/>
      <c r="C587" s="1" t="s">
        <v>2</v>
      </c>
      <c r="D587" s="1" t="s">
        <v>2</v>
      </c>
      <c r="E587" s="1" t="s">
        <v>2</v>
      </c>
      <c r="F587" s="1" t="s">
        <v>2</v>
      </c>
      <c r="G587" s="1" t="s">
        <v>2</v>
      </c>
      <c r="H587" s="340" t="s">
        <v>2</v>
      </c>
      <c r="I587" s="335"/>
    </row>
    <row r="588" spans="1:9" x14ac:dyDescent="0.25">
      <c r="A588" s="340" t="s">
        <v>2175</v>
      </c>
      <c r="B588" s="335"/>
      <c r="C588" s="1" t="s">
        <v>2</v>
      </c>
    </row>
    <row r="589" spans="1:9" x14ac:dyDescent="0.25">
      <c r="A589" s="340" t="s">
        <v>2176</v>
      </c>
      <c r="B589" s="335"/>
      <c r="C589" s="1" t="s">
        <v>2</v>
      </c>
    </row>
    <row r="590" spans="1:9" x14ac:dyDescent="0.25">
      <c r="A590" s="340" t="s">
        <v>2564</v>
      </c>
      <c r="B590" s="335"/>
      <c r="C590" s="1" t="s">
        <v>2</v>
      </c>
    </row>
    <row r="591" spans="1:9" x14ac:dyDescent="0.25">
      <c r="A591" s="341" t="s">
        <v>2732</v>
      </c>
      <c r="B591" s="335"/>
      <c r="C591" s="2" t="s">
        <v>2409</v>
      </c>
      <c r="D591" s="3">
        <v>0</v>
      </c>
      <c r="E591" s="3">
        <v>0</v>
      </c>
      <c r="F591" s="3">
        <v>0</v>
      </c>
      <c r="G591" s="3">
        <v>0</v>
      </c>
      <c r="H591" s="342">
        <v>0</v>
      </c>
      <c r="I591" s="335"/>
    </row>
    <row r="592" spans="1:9" x14ac:dyDescent="0.25">
      <c r="A592" s="340" t="s">
        <v>2580</v>
      </c>
      <c r="B592" s="335"/>
      <c r="C592" s="1" t="s">
        <v>2</v>
      </c>
      <c r="D592" s="4">
        <v>0</v>
      </c>
      <c r="E592" s="4">
        <v>0</v>
      </c>
      <c r="F592" s="4">
        <v>0</v>
      </c>
      <c r="G592" s="4">
        <v>0</v>
      </c>
      <c r="H592" s="343">
        <v>0</v>
      </c>
      <c r="I592" s="335"/>
    </row>
    <row r="593" spans="1:9" x14ac:dyDescent="0.25">
      <c r="A593" s="340" t="s">
        <v>2</v>
      </c>
      <c r="B593" s="335"/>
      <c r="C593" s="1" t="s">
        <v>2</v>
      </c>
      <c r="D593" s="1" t="s">
        <v>2</v>
      </c>
      <c r="E593" s="1" t="s">
        <v>2</v>
      </c>
      <c r="F593" s="1" t="s">
        <v>2</v>
      </c>
      <c r="G593" s="1" t="s">
        <v>2</v>
      </c>
      <c r="H593" s="340" t="s">
        <v>2</v>
      </c>
      <c r="I593" s="335"/>
    </row>
    <row r="594" spans="1:9" x14ac:dyDescent="0.25">
      <c r="A594" s="340" t="s">
        <v>2179</v>
      </c>
      <c r="B594" s="335"/>
      <c r="C594" s="1" t="s">
        <v>2</v>
      </c>
      <c r="D594" s="4">
        <v>0</v>
      </c>
      <c r="E594" s="4">
        <v>0</v>
      </c>
      <c r="F594" s="4">
        <v>0</v>
      </c>
      <c r="G594" s="4">
        <v>0</v>
      </c>
      <c r="H594" s="343">
        <v>0</v>
      </c>
      <c r="I594" s="335"/>
    </row>
    <row r="595" spans="1:9" x14ac:dyDescent="0.25">
      <c r="A595" s="340" t="s">
        <v>2</v>
      </c>
      <c r="B595" s="335"/>
      <c r="C595" s="1" t="s">
        <v>2</v>
      </c>
      <c r="D595" s="1" t="s">
        <v>2</v>
      </c>
      <c r="E595" s="1" t="s">
        <v>2</v>
      </c>
      <c r="F595" s="1" t="s">
        <v>2</v>
      </c>
      <c r="G595" s="1" t="s">
        <v>2</v>
      </c>
      <c r="H595" s="340" t="s">
        <v>2</v>
      </c>
      <c r="I595" s="335"/>
    </row>
    <row r="596" spans="1:9" x14ac:dyDescent="0.25">
      <c r="A596" s="340" t="s">
        <v>2180</v>
      </c>
      <c r="B596" s="335"/>
      <c r="C596" s="1" t="s">
        <v>2</v>
      </c>
      <c r="D596" s="4">
        <v>0</v>
      </c>
      <c r="E596" s="4">
        <v>0</v>
      </c>
      <c r="F596" s="4">
        <v>0</v>
      </c>
      <c r="G596" s="4">
        <v>0</v>
      </c>
      <c r="H596" s="343">
        <v>0</v>
      </c>
      <c r="I596" s="335"/>
    </row>
    <row r="597" spans="1:9" x14ac:dyDescent="0.25">
      <c r="A597" s="340" t="s">
        <v>2</v>
      </c>
      <c r="B597" s="335"/>
      <c r="C597" s="1" t="s">
        <v>2</v>
      </c>
      <c r="D597" s="1" t="s">
        <v>2</v>
      </c>
      <c r="E597" s="1" t="s">
        <v>2</v>
      </c>
      <c r="F597" s="1" t="s">
        <v>2</v>
      </c>
      <c r="G597" s="1" t="s">
        <v>2</v>
      </c>
      <c r="H597" s="340" t="s">
        <v>2</v>
      </c>
      <c r="I597" s="335"/>
    </row>
    <row r="598" spans="1:9" x14ac:dyDescent="0.25">
      <c r="A598" s="340" t="s">
        <v>2047</v>
      </c>
      <c r="B598" s="335"/>
      <c r="C598" s="1" t="s">
        <v>2</v>
      </c>
      <c r="D598" s="4">
        <v>18799.18</v>
      </c>
      <c r="E598" s="4">
        <v>20512.73</v>
      </c>
      <c r="F598" s="4">
        <v>22012.06</v>
      </c>
      <c r="G598" s="4">
        <v>18063.03</v>
      </c>
      <c r="H598" s="343">
        <v>0</v>
      </c>
      <c r="I598" s="335"/>
    </row>
    <row r="599" spans="1:9" x14ac:dyDescent="0.25">
      <c r="A599" s="340" t="s">
        <v>2</v>
      </c>
      <c r="B599" s="335"/>
      <c r="C599" s="1" t="s">
        <v>2</v>
      </c>
      <c r="D599" s="1" t="s">
        <v>2</v>
      </c>
      <c r="E599" s="1" t="s">
        <v>2</v>
      </c>
      <c r="F599" s="1" t="s">
        <v>2</v>
      </c>
      <c r="G599" s="1" t="s">
        <v>2</v>
      </c>
      <c r="H599" s="340" t="s">
        <v>2</v>
      </c>
      <c r="I599" s="335"/>
    </row>
    <row r="600" spans="1:9" x14ac:dyDescent="0.25">
      <c r="A600" s="340" t="s">
        <v>1063</v>
      </c>
      <c r="B600" s="335"/>
      <c r="C600" s="1" t="s">
        <v>2</v>
      </c>
      <c r="D600" s="4">
        <v>18799.18</v>
      </c>
      <c r="E600" s="4">
        <v>20512.73</v>
      </c>
      <c r="F600" s="4">
        <v>22012.06</v>
      </c>
      <c r="G600" s="49">
        <v>18063.03</v>
      </c>
      <c r="H600" s="343">
        <v>0</v>
      </c>
      <c r="I600" s="335"/>
    </row>
    <row r="601" spans="1:9" x14ac:dyDescent="0.25">
      <c r="A601" s="340" t="s">
        <v>2</v>
      </c>
      <c r="B601" s="335"/>
      <c r="C601" s="1" t="s">
        <v>2</v>
      </c>
      <c r="D601" s="1" t="s">
        <v>2</v>
      </c>
      <c r="E601" s="1" t="s">
        <v>2</v>
      </c>
      <c r="F601" s="1" t="s">
        <v>2</v>
      </c>
      <c r="G601" s="1" t="s">
        <v>2</v>
      </c>
      <c r="H601" s="340" t="s">
        <v>2</v>
      </c>
      <c r="I601" s="335"/>
    </row>
    <row r="602" spans="1:9" x14ac:dyDescent="0.25">
      <c r="A602" s="340" t="s">
        <v>1064</v>
      </c>
      <c r="B602" s="335"/>
      <c r="C602" s="1" t="s">
        <v>2</v>
      </c>
    </row>
    <row r="603" spans="1:9" x14ac:dyDescent="0.25">
      <c r="A603" s="340" t="s">
        <v>2026</v>
      </c>
      <c r="B603" s="335"/>
      <c r="C603" s="1" t="s">
        <v>2</v>
      </c>
    </row>
    <row r="604" spans="1:9" x14ac:dyDescent="0.25">
      <c r="A604" s="340" t="s">
        <v>2027</v>
      </c>
      <c r="B604" s="335"/>
      <c r="C604" s="1" t="s">
        <v>2</v>
      </c>
    </row>
    <row r="605" spans="1:9" x14ac:dyDescent="0.25">
      <c r="A605" s="341" t="s">
        <v>2735</v>
      </c>
      <c r="B605" s="335"/>
      <c r="C605" s="2" t="s">
        <v>2736</v>
      </c>
      <c r="D605" s="3">
        <v>274895.3</v>
      </c>
      <c r="E605" s="3">
        <v>278717.15000000002</v>
      </c>
      <c r="F605" s="3">
        <v>335828.8</v>
      </c>
      <c r="G605" s="3">
        <v>290327.53999999998</v>
      </c>
      <c r="H605" s="342">
        <v>0</v>
      </c>
      <c r="I605" s="335"/>
    </row>
    <row r="606" spans="1:9" x14ac:dyDescent="0.25">
      <c r="A606" s="340" t="s">
        <v>2046</v>
      </c>
      <c r="B606" s="335"/>
      <c r="C606" s="1" t="s">
        <v>2</v>
      </c>
      <c r="D606" s="4">
        <v>274895.3</v>
      </c>
      <c r="E606" s="4">
        <v>278717.15000000002</v>
      </c>
      <c r="F606" s="4">
        <v>335828.8</v>
      </c>
      <c r="G606" s="4">
        <v>290327.53999999998</v>
      </c>
      <c r="H606" s="343">
        <v>0</v>
      </c>
      <c r="I606" s="335"/>
    </row>
    <row r="607" spans="1:9" x14ac:dyDescent="0.25">
      <c r="A607" s="340" t="s">
        <v>2</v>
      </c>
      <c r="B607" s="335"/>
      <c r="C607" s="1" t="s">
        <v>2</v>
      </c>
      <c r="D607" s="1" t="s">
        <v>2</v>
      </c>
      <c r="E607" s="1" t="s">
        <v>2</v>
      </c>
      <c r="F607" s="1" t="s">
        <v>2</v>
      </c>
      <c r="G607" s="1" t="s">
        <v>2</v>
      </c>
      <c r="H607" s="340" t="s">
        <v>2</v>
      </c>
      <c r="I607" s="335"/>
    </row>
    <row r="608" spans="1:9" x14ac:dyDescent="0.25">
      <c r="A608" s="340" t="s">
        <v>2175</v>
      </c>
      <c r="B608" s="335"/>
      <c r="C608" s="1" t="s">
        <v>2</v>
      </c>
    </row>
    <row r="609" spans="1:9" x14ac:dyDescent="0.25">
      <c r="A609" s="340" t="s">
        <v>2176</v>
      </c>
      <c r="B609" s="335"/>
      <c r="C609" s="1" t="s">
        <v>2</v>
      </c>
    </row>
    <row r="610" spans="1:9" x14ac:dyDescent="0.25">
      <c r="A610" s="340" t="s">
        <v>2564</v>
      </c>
      <c r="B610" s="335"/>
      <c r="C610" s="1" t="s">
        <v>2</v>
      </c>
    </row>
    <row r="611" spans="1:9" x14ac:dyDescent="0.25">
      <c r="A611" s="341" t="s">
        <v>2737</v>
      </c>
      <c r="B611" s="335"/>
      <c r="C611" s="2" t="s">
        <v>2409</v>
      </c>
      <c r="D611" s="3">
        <v>0</v>
      </c>
      <c r="E611" s="3">
        <v>0</v>
      </c>
      <c r="F611" s="3">
        <v>0</v>
      </c>
      <c r="G611" s="3">
        <v>0</v>
      </c>
      <c r="H611" s="342">
        <v>0</v>
      </c>
      <c r="I611" s="335"/>
    </row>
    <row r="612" spans="1:9" x14ac:dyDescent="0.25">
      <c r="A612" s="340" t="s">
        <v>2580</v>
      </c>
      <c r="B612" s="335"/>
      <c r="C612" s="1" t="s">
        <v>2</v>
      </c>
      <c r="D612" s="4">
        <v>0</v>
      </c>
      <c r="E612" s="4">
        <v>0</v>
      </c>
      <c r="F612" s="4">
        <v>0</v>
      </c>
      <c r="G612" s="4">
        <v>0</v>
      </c>
      <c r="H612" s="343">
        <v>0</v>
      </c>
      <c r="I612" s="335"/>
    </row>
    <row r="613" spans="1:9" x14ac:dyDescent="0.25">
      <c r="A613" s="340" t="s">
        <v>2</v>
      </c>
      <c r="B613" s="335"/>
      <c r="C613" s="1" t="s">
        <v>2</v>
      </c>
      <c r="D613" s="1" t="s">
        <v>2</v>
      </c>
      <c r="E613" s="1" t="s">
        <v>2</v>
      </c>
      <c r="F613" s="1" t="s">
        <v>2</v>
      </c>
      <c r="G613" s="1" t="s">
        <v>2</v>
      </c>
      <c r="H613" s="340" t="s">
        <v>2</v>
      </c>
      <c r="I613" s="335"/>
    </row>
    <row r="614" spans="1:9" x14ac:dyDescent="0.25">
      <c r="A614" s="340" t="s">
        <v>2179</v>
      </c>
      <c r="B614" s="335"/>
      <c r="C614" s="1" t="s">
        <v>2</v>
      </c>
      <c r="D614" s="4">
        <v>0</v>
      </c>
      <c r="E614" s="4">
        <v>0</v>
      </c>
      <c r="F614" s="4">
        <v>0</v>
      </c>
      <c r="G614" s="4">
        <v>0</v>
      </c>
      <c r="H614" s="343">
        <v>0</v>
      </c>
      <c r="I614" s="335"/>
    </row>
    <row r="615" spans="1:9" x14ac:dyDescent="0.25">
      <c r="A615" s="340" t="s">
        <v>2</v>
      </c>
      <c r="B615" s="335"/>
      <c r="C615" s="1" t="s">
        <v>2</v>
      </c>
      <c r="D615" s="1" t="s">
        <v>2</v>
      </c>
      <c r="E615" s="1" t="s">
        <v>2</v>
      </c>
      <c r="F615" s="1" t="s">
        <v>2</v>
      </c>
      <c r="G615" s="1" t="s">
        <v>2</v>
      </c>
      <c r="H615" s="340" t="s">
        <v>2</v>
      </c>
      <c r="I615" s="335"/>
    </row>
    <row r="616" spans="1:9" x14ac:dyDescent="0.25">
      <c r="A616" s="340" t="s">
        <v>2180</v>
      </c>
      <c r="B616" s="335"/>
      <c r="C616" s="1" t="s">
        <v>2</v>
      </c>
      <c r="D616" s="4">
        <v>0</v>
      </c>
      <c r="E616" s="4">
        <v>0</v>
      </c>
      <c r="F616" s="4">
        <v>0</v>
      </c>
      <c r="G616" s="4">
        <v>0</v>
      </c>
      <c r="H616" s="343">
        <v>0</v>
      </c>
      <c r="I616" s="335"/>
    </row>
    <row r="617" spans="1:9" x14ac:dyDescent="0.25">
      <c r="A617" s="340" t="s">
        <v>2</v>
      </c>
      <c r="B617" s="335"/>
      <c r="C617" s="1" t="s">
        <v>2</v>
      </c>
      <c r="D617" s="1" t="s">
        <v>2</v>
      </c>
      <c r="E617" s="1" t="s">
        <v>2</v>
      </c>
      <c r="F617" s="1" t="s">
        <v>2</v>
      </c>
      <c r="G617" s="1" t="s">
        <v>2</v>
      </c>
      <c r="H617" s="340" t="s">
        <v>2</v>
      </c>
      <c r="I617" s="335"/>
    </row>
    <row r="618" spans="1:9" x14ac:dyDescent="0.25">
      <c r="A618" s="340" t="s">
        <v>2047</v>
      </c>
      <c r="B618" s="335"/>
      <c r="C618" s="1" t="s">
        <v>2</v>
      </c>
      <c r="D618" s="4">
        <v>274895.3</v>
      </c>
      <c r="E618" s="4">
        <v>278717.15000000002</v>
      </c>
      <c r="F618" s="4">
        <v>335828.8</v>
      </c>
      <c r="G618" s="4">
        <v>290327.53999999998</v>
      </c>
      <c r="H618" s="343">
        <v>0</v>
      </c>
      <c r="I618" s="335"/>
    </row>
    <row r="619" spans="1:9" x14ac:dyDescent="0.25">
      <c r="A619" s="340" t="s">
        <v>2</v>
      </c>
      <c r="B619" s="335"/>
      <c r="C619" s="1" t="s">
        <v>2</v>
      </c>
      <c r="D619" s="1" t="s">
        <v>2</v>
      </c>
      <c r="E619" s="1" t="s">
        <v>2</v>
      </c>
      <c r="F619" s="1" t="s">
        <v>2</v>
      </c>
      <c r="G619" s="1" t="s">
        <v>2</v>
      </c>
      <c r="H619" s="340" t="s">
        <v>2</v>
      </c>
      <c r="I619" s="335"/>
    </row>
    <row r="620" spans="1:9" x14ac:dyDescent="0.25">
      <c r="A620" s="340" t="s">
        <v>1067</v>
      </c>
      <c r="B620" s="335"/>
      <c r="C620" s="1" t="s">
        <v>2</v>
      </c>
      <c r="D620" s="4">
        <v>274895.3</v>
      </c>
      <c r="E620" s="4">
        <v>278717.15000000002</v>
      </c>
      <c r="F620" s="4">
        <v>335828.8</v>
      </c>
      <c r="G620" s="49">
        <v>290327.53999999998</v>
      </c>
      <c r="H620" s="343">
        <v>0</v>
      </c>
      <c r="I620" s="335"/>
    </row>
    <row r="621" spans="1:9" x14ac:dyDescent="0.25">
      <c r="A621" s="340" t="s">
        <v>2</v>
      </c>
      <c r="B621" s="335"/>
      <c r="C621" s="1" t="s">
        <v>2</v>
      </c>
      <c r="D621" s="1" t="s">
        <v>2</v>
      </c>
      <c r="E621" s="1" t="s">
        <v>2</v>
      </c>
      <c r="F621" s="1" t="s">
        <v>2</v>
      </c>
      <c r="G621" s="1" t="s">
        <v>2</v>
      </c>
      <c r="H621" s="340" t="s">
        <v>2</v>
      </c>
      <c r="I621" s="335"/>
    </row>
    <row r="622" spans="1:9" x14ac:dyDescent="0.25">
      <c r="A622" s="340" t="s">
        <v>1068</v>
      </c>
      <c r="B622" s="335"/>
      <c r="C622" s="1" t="s">
        <v>2</v>
      </c>
    </row>
    <row r="623" spans="1:9" x14ac:dyDescent="0.25">
      <c r="A623" s="340" t="s">
        <v>2026</v>
      </c>
      <c r="B623" s="335"/>
      <c r="C623" s="1" t="s">
        <v>2</v>
      </c>
    </row>
    <row r="624" spans="1:9" x14ac:dyDescent="0.25">
      <c r="A624" s="340" t="s">
        <v>2027</v>
      </c>
      <c r="B624" s="335"/>
      <c r="C624" s="1" t="s">
        <v>2</v>
      </c>
    </row>
    <row r="625" spans="1:9" x14ac:dyDescent="0.25">
      <c r="A625" s="340" t="s">
        <v>2740</v>
      </c>
      <c r="B625" s="335"/>
      <c r="C625" s="1" t="s">
        <v>2</v>
      </c>
    </row>
    <row r="626" spans="1:9" x14ac:dyDescent="0.25">
      <c r="A626" s="340" t="s">
        <v>3374</v>
      </c>
      <c r="B626" s="335"/>
      <c r="C626" s="1" t="s">
        <v>2</v>
      </c>
    </row>
    <row r="627" spans="1:9" x14ac:dyDescent="0.25">
      <c r="A627" s="341" t="s">
        <v>2741</v>
      </c>
      <c r="B627" s="335"/>
      <c r="C627" s="2" t="s">
        <v>2742</v>
      </c>
      <c r="D627" s="3">
        <v>571096.1</v>
      </c>
      <c r="E627" s="3">
        <v>640137.15</v>
      </c>
      <c r="F627" s="3">
        <v>797413.04</v>
      </c>
      <c r="G627" s="3">
        <v>708326.13</v>
      </c>
      <c r="H627" s="342">
        <v>0</v>
      </c>
      <c r="I627" s="335"/>
    </row>
    <row r="628" spans="1:9" x14ac:dyDescent="0.25">
      <c r="A628" s="340" t="s">
        <v>3373</v>
      </c>
      <c r="B628" s="335"/>
      <c r="C628" s="1" t="s">
        <v>2</v>
      </c>
      <c r="D628" s="4">
        <v>571096.1</v>
      </c>
      <c r="E628" s="4">
        <v>640137.15</v>
      </c>
      <c r="F628" s="4">
        <v>797413.04</v>
      </c>
      <c r="G628" s="4">
        <v>708326.13</v>
      </c>
      <c r="H628" s="343">
        <v>0</v>
      </c>
      <c r="I628" s="335"/>
    </row>
    <row r="629" spans="1:9" x14ac:dyDescent="0.25">
      <c r="A629" s="340" t="s">
        <v>2</v>
      </c>
      <c r="B629" s="335"/>
      <c r="C629" s="1" t="s">
        <v>2</v>
      </c>
      <c r="D629" s="1" t="s">
        <v>2</v>
      </c>
      <c r="E629" s="1" t="s">
        <v>2</v>
      </c>
      <c r="F629" s="1" t="s">
        <v>2</v>
      </c>
      <c r="G629" s="1" t="s">
        <v>2</v>
      </c>
      <c r="H629" s="340" t="s">
        <v>2</v>
      </c>
      <c r="I629" s="335"/>
    </row>
    <row r="630" spans="1:9" x14ac:dyDescent="0.25">
      <c r="A630" s="340" t="s">
        <v>2743</v>
      </c>
      <c r="B630" s="335"/>
      <c r="C630" s="1" t="s">
        <v>2</v>
      </c>
      <c r="D630" s="4">
        <v>571096.1</v>
      </c>
      <c r="E630" s="4">
        <v>640137.15</v>
      </c>
      <c r="F630" s="4">
        <v>797413.04</v>
      </c>
      <c r="G630" s="4">
        <v>708326.13</v>
      </c>
      <c r="H630" s="343">
        <v>0</v>
      </c>
      <c r="I630" s="335"/>
    </row>
    <row r="631" spans="1:9" x14ac:dyDescent="0.25">
      <c r="A631" s="340" t="s">
        <v>2</v>
      </c>
      <c r="B631" s="335"/>
      <c r="C631" s="1" t="s">
        <v>2</v>
      </c>
      <c r="D631" s="1" t="s">
        <v>2</v>
      </c>
      <c r="E631" s="1" t="s">
        <v>2</v>
      </c>
      <c r="F631" s="1" t="s">
        <v>2</v>
      </c>
      <c r="G631" s="1" t="s">
        <v>2</v>
      </c>
      <c r="H631" s="340" t="s">
        <v>2</v>
      </c>
      <c r="I631" s="335"/>
    </row>
    <row r="632" spans="1:9" x14ac:dyDescent="0.25">
      <c r="A632" s="340" t="s">
        <v>2046</v>
      </c>
      <c r="B632" s="335"/>
      <c r="C632" s="1" t="s">
        <v>2</v>
      </c>
      <c r="D632" s="4">
        <v>571096.1</v>
      </c>
      <c r="E632" s="4">
        <v>640137.15</v>
      </c>
      <c r="F632" s="4">
        <v>797413.04</v>
      </c>
      <c r="G632" s="4">
        <v>708326.13</v>
      </c>
      <c r="H632" s="343">
        <v>0</v>
      </c>
      <c r="I632" s="335"/>
    </row>
    <row r="633" spans="1:9" x14ac:dyDescent="0.25">
      <c r="A633" s="340" t="s">
        <v>2</v>
      </c>
      <c r="B633" s="335"/>
      <c r="C633" s="1" t="s">
        <v>2</v>
      </c>
      <c r="D633" s="1" t="s">
        <v>2</v>
      </c>
      <c r="E633" s="1" t="s">
        <v>2</v>
      </c>
      <c r="F633" s="1" t="s">
        <v>2</v>
      </c>
      <c r="G633" s="1" t="s">
        <v>2</v>
      </c>
      <c r="H633" s="340" t="s">
        <v>2</v>
      </c>
      <c r="I633" s="335"/>
    </row>
    <row r="634" spans="1:9" x14ac:dyDescent="0.25">
      <c r="A634" s="340" t="s">
        <v>2175</v>
      </c>
      <c r="B634" s="335"/>
      <c r="C634" s="1" t="s">
        <v>2</v>
      </c>
    </row>
    <row r="635" spans="1:9" x14ac:dyDescent="0.25">
      <c r="A635" s="340" t="s">
        <v>2176</v>
      </c>
      <c r="B635" s="335"/>
      <c r="C635" s="1" t="s">
        <v>2</v>
      </c>
    </row>
    <row r="636" spans="1:9" x14ac:dyDescent="0.25">
      <c r="A636" s="341" t="s">
        <v>2744</v>
      </c>
      <c r="B636" s="335"/>
      <c r="C636" s="2" t="s">
        <v>2409</v>
      </c>
      <c r="D636" s="3">
        <v>0</v>
      </c>
      <c r="E636" s="3">
        <v>689.05</v>
      </c>
      <c r="F636" s="3">
        <v>1083.8499999999999</v>
      </c>
      <c r="G636" s="3">
        <v>3792.71</v>
      </c>
      <c r="H636" s="342">
        <v>0</v>
      </c>
      <c r="I636" s="335"/>
    </row>
    <row r="637" spans="1:9" x14ac:dyDescent="0.25">
      <c r="A637" s="341" t="s">
        <v>2745</v>
      </c>
      <c r="B637" s="335"/>
      <c r="C637" s="2" t="s">
        <v>2746</v>
      </c>
      <c r="D637" s="3">
        <v>0</v>
      </c>
      <c r="E637" s="3">
        <v>0</v>
      </c>
      <c r="F637" s="3">
        <v>0</v>
      </c>
      <c r="G637" s="3">
        <v>0</v>
      </c>
      <c r="H637" s="342">
        <v>0</v>
      </c>
      <c r="I637" s="335"/>
    </row>
    <row r="638" spans="1:9" x14ac:dyDescent="0.25">
      <c r="A638" s="341" t="s">
        <v>2747</v>
      </c>
      <c r="B638" s="335"/>
      <c r="C638" s="2" t="s">
        <v>2748</v>
      </c>
      <c r="D638" s="3">
        <v>0</v>
      </c>
      <c r="E638" s="3">
        <v>0</v>
      </c>
      <c r="F638" s="3">
        <v>0</v>
      </c>
      <c r="G638" s="3">
        <v>0</v>
      </c>
      <c r="H638" s="342">
        <v>0</v>
      </c>
      <c r="I638" s="335"/>
    </row>
    <row r="639" spans="1:9" x14ac:dyDescent="0.25">
      <c r="A639" s="340" t="s">
        <v>2179</v>
      </c>
      <c r="B639" s="335"/>
      <c r="C639" s="1" t="s">
        <v>2</v>
      </c>
      <c r="D639" s="4">
        <v>0</v>
      </c>
      <c r="E639" s="4">
        <v>689.05</v>
      </c>
      <c r="F639" s="4">
        <v>1083.8499999999999</v>
      </c>
      <c r="G639" s="4">
        <v>3792.71</v>
      </c>
      <c r="H639" s="343">
        <v>0</v>
      </c>
      <c r="I639" s="335"/>
    </row>
    <row r="640" spans="1:9" x14ac:dyDescent="0.25">
      <c r="A640" s="340" t="s">
        <v>2</v>
      </c>
      <c r="B640" s="335"/>
      <c r="C640" s="1" t="s">
        <v>2</v>
      </c>
      <c r="D640" s="1" t="s">
        <v>2</v>
      </c>
      <c r="E640" s="1" t="s">
        <v>2</v>
      </c>
      <c r="F640" s="1" t="s">
        <v>2</v>
      </c>
      <c r="G640" s="1" t="s">
        <v>2</v>
      </c>
      <c r="H640" s="340" t="s">
        <v>2</v>
      </c>
      <c r="I640" s="335"/>
    </row>
    <row r="641" spans="1:9" x14ac:dyDescent="0.25">
      <c r="A641" s="340" t="s">
        <v>2180</v>
      </c>
      <c r="B641" s="335"/>
      <c r="C641" s="1" t="s">
        <v>2</v>
      </c>
      <c r="D641" s="4">
        <v>0</v>
      </c>
      <c r="E641" s="4">
        <v>689.05</v>
      </c>
      <c r="F641" s="4">
        <v>1083.8499999999999</v>
      </c>
      <c r="G641" s="4">
        <v>3792.71</v>
      </c>
      <c r="H641" s="343">
        <v>0</v>
      </c>
      <c r="I641" s="335"/>
    </row>
    <row r="642" spans="1:9" x14ac:dyDescent="0.25">
      <c r="A642" s="340" t="s">
        <v>2</v>
      </c>
      <c r="B642" s="335"/>
      <c r="C642" s="1" t="s">
        <v>2</v>
      </c>
      <c r="D642" s="1" t="s">
        <v>2</v>
      </c>
      <c r="E642" s="1" t="s">
        <v>2</v>
      </c>
      <c r="F642" s="1" t="s">
        <v>2</v>
      </c>
      <c r="G642" s="1" t="s">
        <v>2</v>
      </c>
      <c r="H642" s="340" t="s">
        <v>2</v>
      </c>
      <c r="I642" s="335"/>
    </row>
    <row r="643" spans="1:9" x14ac:dyDescent="0.25">
      <c r="A643" s="340" t="s">
        <v>2047</v>
      </c>
      <c r="B643" s="335"/>
      <c r="C643" s="1" t="s">
        <v>2</v>
      </c>
      <c r="D643" s="4">
        <v>571096.1</v>
      </c>
      <c r="E643" s="4">
        <v>640826.19999999995</v>
      </c>
      <c r="F643" s="4">
        <v>798496.89</v>
      </c>
      <c r="G643" s="4">
        <v>712118.84</v>
      </c>
      <c r="H643" s="343">
        <v>0</v>
      </c>
      <c r="I643" s="335"/>
    </row>
    <row r="644" spans="1:9" x14ac:dyDescent="0.25">
      <c r="A644" s="340" t="s">
        <v>2</v>
      </c>
      <c r="B644" s="335"/>
      <c r="C644" s="1" t="s">
        <v>2</v>
      </c>
      <c r="D644" s="1" t="s">
        <v>2</v>
      </c>
      <c r="E644" s="1" t="s">
        <v>2</v>
      </c>
      <c r="F644" s="1" t="s">
        <v>2</v>
      </c>
      <c r="G644" s="1" t="s">
        <v>2</v>
      </c>
      <c r="H644" s="340" t="s">
        <v>2</v>
      </c>
      <c r="I644" s="335"/>
    </row>
    <row r="645" spans="1:9" x14ac:dyDescent="0.25">
      <c r="A645" s="340" t="s">
        <v>1077</v>
      </c>
      <c r="B645" s="335"/>
      <c r="C645" s="1" t="s">
        <v>2</v>
      </c>
      <c r="D645" s="4">
        <v>571096.1</v>
      </c>
      <c r="E645" s="4">
        <v>640826.19999999995</v>
      </c>
      <c r="F645" s="4">
        <v>798496.89</v>
      </c>
      <c r="G645" s="49">
        <v>712118.84</v>
      </c>
      <c r="H645" s="343">
        <v>0</v>
      </c>
      <c r="I645" s="335"/>
    </row>
    <row r="646" spans="1:9" x14ac:dyDescent="0.25">
      <c r="A646" s="340" t="s">
        <v>2</v>
      </c>
      <c r="B646" s="335"/>
      <c r="C646" s="1" t="s">
        <v>2</v>
      </c>
      <c r="D646" s="1" t="s">
        <v>2</v>
      </c>
      <c r="E646" s="1" t="s">
        <v>2</v>
      </c>
      <c r="F646" s="1" t="s">
        <v>2</v>
      </c>
      <c r="G646" s="1" t="s">
        <v>2</v>
      </c>
      <c r="H646" s="340" t="s">
        <v>2</v>
      </c>
      <c r="I646" s="335"/>
    </row>
    <row r="647" spans="1:9" x14ac:dyDescent="0.25">
      <c r="A647" s="340" t="s">
        <v>1078</v>
      </c>
      <c r="B647" s="335"/>
      <c r="C647" s="1" t="s">
        <v>2</v>
      </c>
    </row>
    <row r="648" spans="1:9" x14ac:dyDescent="0.25">
      <c r="A648" s="340" t="s">
        <v>2026</v>
      </c>
      <c r="B648" s="335"/>
      <c r="C648" s="1" t="s">
        <v>2</v>
      </c>
    </row>
    <row r="649" spans="1:9" x14ac:dyDescent="0.25">
      <c r="A649" s="341" t="s">
        <v>2751</v>
      </c>
      <c r="B649" s="335"/>
      <c r="C649" s="2" t="s">
        <v>2752</v>
      </c>
      <c r="D649" s="3">
        <v>300000</v>
      </c>
      <c r="E649" s="3">
        <v>0</v>
      </c>
      <c r="F649" s="3">
        <v>0</v>
      </c>
      <c r="G649" s="3">
        <v>0</v>
      </c>
      <c r="H649" s="342">
        <v>0</v>
      </c>
      <c r="I649" s="335"/>
    </row>
    <row r="650" spans="1:9" x14ac:dyDescent="0.25">
      <c r="A650" s="340" t="s">
        <v>2047</v>
      </c>
      <c r="B650" s="335"/>
      <c r="C650" s="1" t="s">
        <v>2</v>
      </c>
      <c r="D650" s="4">
        <v>300000</v>
      </c>
      <c r="E650" s="4">
        <v>0</v>
      </c>
      <c r="F650" s="4">
        <v>0</v>
      </c>
      <c r="G650" s="4">
        <v>0</v>
      </c>
      <c r="H650" s="343">
        <v>0</v>
      </c>
      <c r="I650" s="335"/>
    </row>
    <row r="651" spans="1:9" x14ac:dyDescent="0.25">
      <c r="A651" s="340" t="s">
        <v>2</v>
      </c>
      <c r="B651" s="335"/>
      <c r="C651" s="1" t="s">
        <v>2</v>
      </c>
      <c r="D651" s="1" t="s">
        <v>2</v>
      </c>
      <c r="E651" s="1" t="s">
        <v>2</v>
      </c>
      <c r="F651" s="1" t="s">
        <v>2</v>
      </c>
      <c r="G651" s="1" t="s">
        <v>2</v>
      </c>
      <c r="H651" s="340" t="s">
        <v>2</v>
      </c>
      <c r="I651" s="335"/>
    </row>
    <row r="652" spans="1:9" x14ac:dyDescent="0.25">
      <c r="A652" s="340" t="s">
        <v>1093</v>
      </c>
      <c r="B652" s="335"/>
      <c r="C652" s="1" t="s">
        <v>2</v>
      </c>
      <c r="D652" s="4">
        <v>300000</v>
      </c>
      <c r="E652" s="4">
        <v>0</v>
      </c>
      <c r="F652" s="4">
        <v>0</v>
      </c>
      <c r="G652" s="49">
        <v>0</v>
      </c>
      <c r="H652" s="343">
        <v>0</v>
      </c>
      <c r="I652" s="335"/>
    </row>
    <row r="653" spans="1:9" x14ac:dyDescent="0.25">
      <c r="A653" s="340" t="s">
        <v>2</v>
      </c>
      <c r="B653" s="335"/>
      <c r="C653" s="1" t="s">
        <v>2</v>
      </c>
      <c r="D653" s="1" t="s">
        <v>2</v>
      </c>
      <c r="E653" s="1" t="s">
        <v>2</v>
      </c>
      <c r="F653" s="1" t="s">
        <v>2</v>
      </c>
      <c r="G653" s="1" t="s">
        <v>2</v>
      </c>
      <c r="H653" s="340" t="s">
        <v>2</v>
      </c>
      <c r="I653" s="335"/>
    </row>
    <row r="654" spans="1:9" x14ac:dyDescent="0.25">
      <c r="A654" s="340" t="s">
        <v>1094</v>
      </c>
      <c r="B654" s="335"/>
      <c r="C654" s="1" t="s">
        <v>2</v>
      </c>
    </row>
    <row r="655" spans="1:9" x14ac:dyDescent="0.25">
      <c r="A655" s="341" t="s">
        <v>2756</v>
      </c>
      <c r="B655" s="335"/>
      <c r="C655" s="2" t="s">
        <v>2110</v>
      </c>
      <c r="D655" s="3">
        <v>0</v>
      </c>
      <c r="E655" s="3">
        <v>0</v>
      </c>
      <c r="F655" s="3">
        <v>2081265</v>
      </c>
      <c r="G655" s="3">
        <v>2081265</v>
      </c>
      <c r="H655" s="342">
        <v>0</v>
      </c>
      <c r="I655" s="335"/>
    </row>
    <row r="656" spans="1:9" x14ac:dyDescent="0.25">
      <c r="A656" s="340" t="s">
        <v>1115</v>
      </c>
      <c r="B656" s="335"/>
      <c r="C656" s="1" t="s">
        <v>2</v>
      </c>
      <c r="D656" s="4">
        <v>0</v>
      </c>
      <c r="E656" s="4">
        <v>0</v>
      </c>
      <c r="F656" s="4">
        <v>2081265</v>
      </c>
      <c r="G656" s="49">
        <v>2081265</v>
      </c>
      <c r="H656" s="343">
        <v>0</v>
      </c>
      <c r="I656" s="335"/>
    </row>
    <row r="657" spans="1:9" x14ac:dyDescent="0.25">
      <c r="A657" s="340" t="s">
        <v>2</v>
      </c>
      <c r="B657" s="335"/>
      <c r="C657" s="1" t="s">
        <v>2</v>
      </c>
      <c r="D657" s="1" t="s">
        <v>2</v>
      </c>
      <c r="E657" s="1" t="s">
        <v>2</v>
      </c>
      <c r="F657" s="1" t="s">
        <v>2</v>
      </c>
      <c r="G657" s="1" t="s">
        <v>2</v>
      </c>
      <c r="H657" s="340" t="s">
        <v>2</v>
      </c>
      <c r="I657" s="335"/>
    </row>
    <row r="658" spans="1:9" x14ac:dyDescent="0.25">
      <c r="A658" s="340" t="s">
        <v>1117</v>
      </c>
      <c r="B658" s="335"/>
      <c r="C658" s="1" t="s">
        <v>2</v>
      </c>
    </row>
    <row r="659" spans="1:9" x14ac:dyDescent="0.25">
      <c r="A659" s="341" t="s">
        <v>2759</v>
      </c>
      <c r="B659" s="335"/>
      <c r="C659" s="2" t="s">
        <v>2760</v>
      </c>
      <c r="D659" s="3">
        <v>38505</v>
      </c>
      <c r="E659" s="3">
        <v>27026.03</v>
      </c>
      <c r="F659" s="3">
        <v>27474.28</v>
      </c>
      <c r="G659" s="3">
        <v>30402.91</v>
      </c>
      <c r="H659" s="342">
        <v>0</v>
      </c>
      <c r="I659" s="335"/>
    </row>
    <row r="660" spans="1:9" x14ac:dyDescent="0.25">
      <c r="A660" s="341" t="s">
        <v>2761</v>
      </c>
      <c r="B660" s="335"/>
      <c r="C660" s="2" t="s">
        <v>2762</v>
      </c>
      <c r="D660" s="3">
        <v>38505.019999999997</v>
      </c>
      <c r="E660" s="3">
        <v>27026.03</v>
      </c>
      <c r="F660" s="3">
        <v>27474.27</v>
      </c>
      <c r="G660" s="3">
        <v>30402.91</v>
      </c>
      <c r="H660" s="342">
        <v>0</v>
      </c>
      <c r="I660" s="335"/>
    </row>
    <row r="661" spans="1:9" x14ac:dyDescent="0.25">
      <c r="A661" s="340" t="s">
        <v>2175</v>
      </c>
      <c r="B661" s="335"/>
      <c r="C661" s="1" t="s">
        <v>2</v>
      </c>
    </row>
    <row r="662" spans="1:9" x14ac:dyDescent="0.25">
      <c r="A662" s="340" t="s">
        <v>2176</v>
      </c>
      <c r="B662" s="335"/>
      <c r="C662" s="1" t="s">
        <v>2</v>
      </c>
    </row>
    <row r="663" spans="1:9" x14ac:dyDescent="0.25">
      <c r="A663" s="340" t="s">
        <v>2564</v>
      </c>
      <c r="B663" s="335"/>
      <c r="C663" s="1" t="s">
        <v>2</v>
      </c>
    </row>
    <row r="664" spans="1:9" x14ac:dyDescent="0.25">
      <c r="A664" s="341" t="s">
        <v>2763</v>
      </c>
      <c r="B664" s="335"/>
      <c r="C664" s="2" t="s">
        <v>2409</v>
      </c>
      <c r="D664" s="3">
        <v>0</v>
      </c>
      <c r="E664" s="3">
        <v>0</v>
      </c>
      <c r="F664" s="3">
        <v>44.09</v>
      </c>
      <c r="G664" s="3">
        <v>108.43</v>
      </c>
      <c r="H664" s="342">
        <v>0</v>
      </c>
      <c r="I664" s="335"/>
    </row>
    <row r="665" spans="1:9" x14ac:dyDescent="0.25">
      <c r="A665" s="340" t="s">
        <v>2580</v>
      </c>
      <c r="B665" s="335"/>
      <c r="C665" s="1" t="s">
        <v>2</v>
      </c>
      <c r="D665" s="4">
        <v>0</v>
      </c>
      <c r="E665" s="4">
        <v>0</v>
      </c>
      <c r="F665" s="4">
        <v>44.09</v>
      </c>
      <c r="G665" s="4">
        <v>108.43</v>
      </c>
      <c r="H665" s="343">
        <v>0</v>
      </c>
      <c r="I665" s="335"/>
    </row>
    <row r="666" spans="1:9" x14ac:dyDescent="0.25">
      <c r="A666" s="340" t="s">
        <v>2</v>
      </c>
      <c r="B666" s="335"/>
      <c r="C666" s="1" t="s">
        <v>2</v>
      </c>
      <c r="D666" s="1" t="s">
        <v>2</v>
      </c>
      <c r="E666" s="1" t="s">
        <v>2</v>
      </c>
      <c r="F666" s="1" t="s">
        <v>2</v>
      </c>
      <c r="G666" s="1" t="s">
        <v>2</v>
      </c>
      <c r="H666" s="340" t="s">
        <v>2</v>
      </c>
      <c r="I666" s="335"/>
    </row>
    <row r="667" spans="1:9" x14ac:dyDescent="0.25">
      <c r="A667" s="340" t="s">
        <v>2179</v>
      </c>
      <c r="B667" s="335"/>
      <c r="C667" s="1" t="s">
        <v>2</v>
      </c>
      <c r="D667" s="4">
        <v>0</v>
      </c>
      <c r="E667" s="4">
        <v>0</v>
      </c>
      <c r="F667" s="4">
        <v>44.09</v>
      </c>
      <c r="G667" s="4">
        <v>108.43</v>
      </c>
      <c r="H667" s="343">
        <v>0</v>
      </c>
      <c r="I667" s="335"/>
    </row>
    <row r="668" spans="1:9" x14ac:dyDescent="0.25">
      <c r="A668" s="340" t="s">
        <v>2</v>
      </c>
      <c r="B668" s="335"/>
      <c r="C668" s="1" t="s">
        <v>2</v>
      </c>
      <c r="D668" s="1" t="s">
        <v>2</v>
      </c>
      <c r="E668" s="1" t="s">
        <v>2</v>
      </c>
      <c r="F668" s="1" t="s">
        <v>2</v>
      </c>
      <c r="G668" s="1" t="s">
        <v>2</v>
      </c>
      <c r="H668" s="340" t="s">
        <v>2</v>
      </c>
      <c r="I668" s="335"/>
    </row>
    <row r="669" spans="1:9" x14ac:dyDescent="0.25">
      <c r="A669" s="340" t="s">
        <v>2180</v>
      </c>
      <c r="B669" s="335"/>
      <c r="C669" s="1" t="s">
        <v>2</v>
      </c>
      <c r="D669" s="4">
        <v>0</v>
      </c>
      <c r="E669" s="4">
        <v>0</v>
      </c>
      <c r="F669" s="4">
        <v>44.09</v>
      </c>
      <c r="G669" s="4">
        <v>108.43</v>
      </c>
      <c r="H669" s="343">
        <v>0</v>
      </c>
      <c r="I669" s="335"/>
    </row>
    <row r="670" spans="1:9" x14ac:dyDescent="0.25">
      <c r="A670" s="340" t="s">
        <v>2</v>
      </c>
      <c r="B670" s="335"/>
      <c r="C670" s="1" t="s">
        <v>2</v>
      </c>
      <c r="D670" s="1" t="s">
        <v>2</v>
      </c>
      <c r="E670" s="1" t="s">
        <v>2</v>
      </c>
      <c r="F670" s="1" t="s">
        <v>2</v>
      </c>
      <c r="G670" s="1" t="s">
        <v>2</v>
      </c>
      <c r="H670" s="340" t="s">
        <v>2</v>
      </c>
      <c r="I670" s="335"/>
    </row>
    <row r="671" spans="1:9" x14ac:dyDescent="0.25">
      <c r="A671" s="340" t="s">
        <v>1145</v>
      </c>
      <c r="B671" s="335"/>
      <c r="C671" s="1" t="s">
        <v>2</v>
      </c>
      <c r="D671" s="4">
        <v>77010.02</v>
      </c>
      <c r="E671" s="4">
        <v>54052.06</v>
      </c>
      <c r="F671" s="4">
        <v>54992.639999999999</v>
      </c>
      <c r="G671" s="49">
        <v>60914.25</v>
      </c>
      <c r="H671" s="343">
        <v>0</v>
      </c>
      <c r="I671" s="335"/>
    </row>
    <row r="672" spans="1:9" x14ac:dyDescent="0.25">
      <c r="A672" s="340" t="s">
        <v>2</v>
      </c>
      <c r="B672" s="335"/>
      <c r="C672" s="1" t="s">
        <v>2</v>
      </c>
      <c r="D672" s="1" t="s">
        <v>2</v>
      </c>
      <c r="E672" s="1" t="s">
        <v>2</v>
      </c>
      <c r="F672" s="1" t="s">
        <v>2</v>
      </c>
      <c r="G672" s="1" t="s">
        <v>2</v>
      </c>
      <c r="H672" s="340" t="s">
        <v>2</v>
      </c>
      <c r="I672" s="335"/>
    </row>
    <row r="673" spans="1:9" x14ac:dyDescent="0.25">
      <c r="A673" s="340" t="s">
        <v>1146</v>
      </c>
      <c r="B673" s="335"/>
      <c r="C673" s="1" t="s">
        <v>2</v>
      </c>
    </row>
    <row r="674" spans="1:9" x14ac:dyDescent="0.25">
      <c r="A674" s="340" t="s">
        <v>2026</v>
      </c>
      <c r="B674" s="335"/>
      <c r="C674" s="1" t="s">
        <v>2</v>
      </c>
    </row>
    <row r="675" spans="1:9" x14ac:dyDescent="0.25">
      <c r="A675" s="340" t="s">
        <v>2175</v>
      </c>
      <c r="B675" s="335"/>
      <c r="C675" s="1" t="s">
        <v>2</v>
      </c>
    </row>
    <row r="676" spans="1:9" x14ac:dyDescent="0.25">
      <c r="A676" s="340" t="s">
        <v>2176</v>
      </c>
      <c r="B676" s="335"/>
      <c r="C676" s="1" t="s">
        <v>2</v>
      </c>
    </row>
    <row r="677" spans="1:9" x14ac:dyDescent="0.25">
      <c r="A677" s="340" t="s">
        <v>2564</v>
      </c>
      <c r="B677" s="335"/>
      <c r="C677" s="1" t="s">
        <v>2</v>
      </c>
    </row>
    <row r="678" spans="1:9" x14ac:dyDescent="0.25">
      <c r="A678" s="341" t="s">
        <v>2765</v>
      </c>
      <c r="B678" s="335"/>
      <c r="C678" s="2" t="s">
        <v>2409</v>
      </c>
      <c r="D678" s="3">
        <v>8.81</v>
      </c>
      <c r="E678" s="3">
        <v>2.48</v>
      </c>
      <c r="F678" s="3">
        <v>0.42</v>
      </c>
      <c r="G678" s="3">
        <v>0.81</v>
      </c>
      <c r="H678" s="342">
        <v>0</v>
      </c>
      <c r="I678" s="335"/>
    </row>
    <row r="679" spans="1:9" x14ac:dyDescent="0.25">
      <c r="A679" s="340" t="s">
        <v>2580</v>
      </c>
      <c r="B679" s="335"/>
      <c r="C679" s="1" t="s">
        <v>2</v>
      </c>
      <c r="D679" s="4">
        <v>8.81</v>
      </c>
      <c r="E679" s="4">
        <v>2.48</v>
      </c>
      <c r="F679" s="4">
        <v>0.42</v>
      </c>
      <c r="G679" s="4">
        <v>0.81</v>
      </c>
      <c r="H679" s="343">
        <v>0</v>
      </c>
      <c r="I679" s="335"/>
    </row>
    <row r="680" spans="1:9" x14ac:dyDescent="0.25">
      <c r="A680" s="340" t="s">
        <v>2</v>
      </c>
      <c r="B680" s="335"/>
      <c r="C680" s="1" t="s">
        <v>2</v>
      </c>
      <c r="D680" s="1" t="s">
        <v>2</v>
      </c>
      <c r="E680" s="1" t="s">
        <v>2</v>
      </c>
      <c r="F680" s="1" t="s">
        <v>2</v>
      </c>
      <c r="G680" s="1" t="s">
        <v>2</v>
      </c>
      <c r="H680" s="340" t="s">
        <v>2</v>
      </c>
      <c r="I680" s="335"/>
    </row>
    <row r="681" spans="1:9" x14ac:dyDescent="0.25">
      <c r="A681" s="341" t="s">
        <v>2766</v>
      </c>
      <c r="B681" s="335"/>
      <c r="C681" s="2" t="s">
        <v>2703</v>
      </c>
      <c r="D681" s="3">
        <v>0</v>
      </c>
      <c r="E681" s="3">
        <v>0</v>
      </c>
      <c r="F681" s="3">
        <v>0</v>
      </c>
      <c r="G681" s="3">
        <v>0</v>
      </c>
      <c r="H681" s="342">
        <v>0</v>
      </c>
      <c r="I681" s="335"/>
    </row>
    <row r="682" spans="1:9" x14ac:dyDescent="0.25">
      <c r="A682" s="340" t="s">
        <v>2179</v>
      </c>
      <c r="B682" s="335"/>
      <c r="C682" s="1" t="s">
        <v>2</v>
      </c>
      <c r="D682" s="4">
        <v>8.81</v>
      </c>
      <c r="E682" s="4">
        <v>2.48</v>
      </c>
      <c r="F682" s="4">
        <v>0.42</v>
      </c>
      <c r="G682" s="4">
        <v>0.81</v>
      </c>
      <c r="H682" s="343">
        <v>0</v>
      </c>
      <c r="I682" s="335"/>
    </row>
    <row r="683" spans="1:9" x14ac:dyDescent="0.25">
      <c r="A683" s="340" t="s">
        <v>2</v>
      </c>
      <c r="B683" s="335"/>
      <c r="C683" s="1" t="s">
        <v>2</v>
      </c>
      <c r="D683" s="1" t="s">
        <v>2</v>
      </c>
      <c r="E683" s="1" t="s">
        <v>2</v>
      </c>
      <c r="F683" s="1" t="s">
        <v>2</v>
      </c>
      <c r="G683" s="1" t="s">
        <v>2</v>
      </c>
      <c r="H683" s="340" t="s">
        <v>2</v>
      </c>
      <c r="I683" s="335"/>
    </row>
    <row r="684" spans="1:9" x14ac:dyDescent="0.25">
      <c r="A684" s="340" t="s">
        <v>2180</v>
      </c>
      <c r="B684" s="335"/>
      <c r="C684" s="1" t="s">
        <v>2</v>
      </c>
      <c r="D684" s="4">
        <v>8.81</v>
      </c>
      <c r="E684" s="4">
        <v>2.48</v>
      </c>
      <c r="F684" s="4">
        <v>0.42</v>
      </c>
      <c r="G684" s="4">
        <v>0.81</v>
      </c>
      <c r="H684" s="343">
        <v>0</v>
      </c>
      <c r="I684" s="335"/>
    </row>
    <row r="685" spans="1:9" x14ac:dyDescent="0.25">
      <c r="A685" s="340" t="s">
        <v>2</v>
      </c>
      <c r="B685" s="335"/>
      <c r="C685" s="1" t="s">
        <v>2</v>
      </c>
      <c r="D685" s="1" t="s">
        <v>2</v>
      </c>
      <c r="E685" s="1" t="s">
        <v>2</v>
      </c>
      <c r="F685" s="1" t="s">
        <v>2</v>
      </c>
      <c r="G685" s="1" t="s">
        <v>2</v>
      </c>
      <c r="H685" s="340" t="s">
        <v>2</v>
      </c>
      <c r="I685" s="335"/>
    </row>
    <row r="686" spans="1:9" x14ac:dyDescent="0.25">
      <c r="A686" s="340" t="s">
        <v>2724</v>
      </c>
      <c r="B686" s="335"/>
      <c r="C686" s="1" t="s">
        <v>2</v>
      </c>
    </row>
    <row r="687" spans="1:9" x14ac:dyDescent="0.25">
      <c r="A687" s="341" t="s">
        <v>2767</v>
      </c>
      <c r="B687" s="335"/>
      <c r="C687" s="2" t="s">
        <v>2768</v>
      </c>
      <c r="D687" s="3">
        <v>0</v>
      </c>
      <c r="E687" s="3">
        <v>0</v>
      </c>
      <c r="F687" s="3">
        <v>0</v>
      </c>
      <c r="G687" s="3">
        <v>0</v>
      </c>
      <c r="H687" s="342">
        <v>0</v>
      </c>
      <c r="I687" s="335"/>
    </row>
    <row r="688" spans="1:9" x14ac:dyDescent="0.25">
      <c r="A688" s="341" t="s">
        <v>2769</v>
      </c>
      <c r="B688" s="335"/>
      <c r="C688" s="2" t="s">
        <v>2770</v>
      </c>
      <c r="D688" s="3">
        <v>70272</v>
      </c>
      <c r="E688" s="3">
        <v>70272</v>
      </c>
      <c r="F688" s="3">
        <v>70272</v>
      </c>
      <c r="G688" s="3">
        <v>0</v>
      </c>
      <c r="H688" s="342">
        <v>0</v>
      </c>
      <c r="I688" s="335"/>
    </row>
    <row r="689" spans="1:9" x14ac:dyDescent="0.25">
      <c r="A689" s="341" t="s">
        <v>2771</v>
      </c>
      <c r="B689" s="335"/>
      <c r="C689" s="2" t="s">
        <v>2772</v>
      </c>
      <c r="D689" s="3">
        <v>53025</v>
      </c>
      <c r="E689" s="3">
        <v>51825</v>
      </c>
      <c r="F689" s="3">
        <v>45312.5</v>
      </c>
      <c r="G689" s="3">
        <v>0</v>
      </c>
      <c r="H689" s="342">
        <v>0</v>
      </c>
      <c r="I689" s="335"/>
    </row>
    <row r="690" spans="1:9" x14ac:dyDescent="0.25">
      <c r="A690" s="340" t="s">
        <v>2725</v>
      </c>
      <c r="B690" s="335"/>
      <c r="C690" s="1" t="s">
        <v>2</v>
      </c>
      <c r="D690" s="4">
        <v>123297</v>
      </c>
      <c r="E690" s="4">
        <v>122097</v>
      </c>
      <c r="F690" s="4">
        <v>115584.5</v>
      </c>
      <c r="G690" s="4">
        <v>0</v>
      </c>
      <c r="H690" s="343">
        <v>0</v>
      </c>
      <c r="I690" s="335"/>
    </row>
    <row r="691" spans="1:9" x14ac:dyDescent="0.25">
      <c r="A691" s="340" t="s">
        <v>2</v>
      </c>
      <c r="B691" s="335"/>
      <c r="C691" s="1" t="s">
        <v>2</v>
      </c>
      <c r="D691" s="1" t="s">
        <v>2</v>
      </c>
      <c r="E691" s="1" t="s">
        <v>2</v>
      </c>
      <c r="F691" s="1" t="s">
        <v>2</v>
      </c>
      <c r="G691" s="1" t="s">
        <v>2</v>
      </c>
      <c r="H691" s="340" t="s">
        <v>2</v>
      </c>
      <c r="I691" s="335"/>
    </row>
    <row r="692" spans="1:9" x14ac:dyDescent="0.25">
      <c r="A692" s="340" t="s">
        <v>2047</v>
      </c>
      <c r="B692" s="335"/>
      <c r="C692" s="1" t="s">
        <v>2</v>
      </c>
      <c r="D692" s="4">
        <v>123305.81</v>
      </c>
      <c r="E692" s="4">
        <v>122099.48</v>
      </c>
      <c r="F692" s="4">
        <v>115584.92</v>
      </c>
      <c r="G692" s="4">
        <v>0.81</v>
      </c>
      <c r="H692" s="343">
        <v>0</v>
      </c>
      <c r="I692" s="335"/>
    </row>
    <row r="693" spans="1:9" x14ac:dyDescent="0.25">
      <c r="A693" s="340" t="s">
        <v>2</v>
      </c>
      <c r="B693" s="335"/>
      <c r="C693" s="1" t="s">
        <v>2</v>
      </c>
      <c r="D693" s="1" t="s">
        <v>2</v>
      </c>
      <c r="E693" s="1" t="s">
        <v>2</v>
      </c>
      <c r="F693" s="1" t="s">
        <v>2</v>
      </c>
      <c r="G693" s="1" t="s">
        <v>2</v>
      </c>
      <c r="H693" s="340" t="s">
        <v>2</v>
      </c>
      <c r="I693" s="335"/>
    </row>
    <row r="694" spans="1:9" x14ac:dyDescent="0.25">
      <c r="A694" s="340" t="s">
        <v>1159</v>
      </c>
      <c r="B694" s="335"/>
      <c r="C694" s="1" t="s">
        <v>2</v>
      </c>
      <c r="D694" s="4">
        <v>123305.81</v>
      </c>
      <c r="E694" s="4">
        <v>122099.48</v>
      </c>
      <c r="F694" s="4">
        <v>115584.92</v>
      </c>
      <c r="G694" s="49">
        <v>0.81</v>
      </c>
      <c r="H694" s="343">
        <v>0</v>
      </c>
      <c r="I694" s="335"/>
    </row>
    <row r="695" spans="1:9" x14ac:dyDescent="0.25">
      <c r="A695" s="340" t="s">
        <v>2</v>
      </c>
      <c r="B695" s="335"/>
      <c r="C695" s="1" t="s">
        <v>2</v>
      </c>
      <c r="D695" s="1" t="s">
        <v>2</v>
      </c>
      <c r="E695" s="1" t="s">
        <v>2</v>
      </c>
      <c r="F695" s="1" t="s">
        <v>2</v>
      </c>
      <c r="G695" s="1" t="s">
        <v>2</v>
      </c>
      <c r="H695" s="340" t="s">
        <v>2</v>
      </c>
      <c r="I695" s="335"/>
    </row>
    <row r="696" spans="1:9" x14ac:dyDescent="0.25">
      <c r="A696" s="340" t="s">
        <v>1160</v>
      </c>
      <c r="B696" s="335"/>
      <c r="C696" s="1" t="s">
        <v>2</v>
      </c>
    </row>
    <row r="697" spans="1:9" x14ac:dyDescent="0.25">
      <c r="A697" s="340" t="s">
        <v>2026</v>
      </c>
      <c r="B697" s="335"/>
      <c r="C697" s="1" t="s">
        <v>2</v>
      </c>
    </row>
    <row r="698" spans="1:9" x14ac:dyDescent="0.25">
      <c r="A698" s="340" t="s">
        <v>2175</v>
      </c>
      <c r="B698" s="335"/>
      <c r="C698" s="1" t="s">
        <v>2</v>
      </c>
    </row>
    <row r="699" spans="1:9" x14ac:dyDescent="0.25">
      <c r="A699" s="340" t="s">
        <v>2176</v>
      </c>
      <c r="B699" s="335"/>
      <c r="C699" s="1" t="s">
        <v>2</v>
      </c>
    </row>
    <row r="700" spans="1:9" x14ac:dyDescent="0.25">
      <c r="A700" s="340" t="s">
        <v>2564</v>
      </c>
      <c r="B700" s="335"/>
      <c r="C700" s="1" t="s">
        <v>2</v>
      </c>
    </row>
    <row r="701" spans="1:9" x14ac:dyDescent="0.25">
      <c r="A701" s="341" t="s">
        <v>2775</v>
      </c>
      <c r="B701" s="335"/>
      <c r="C701" s="2" t="s">
        <v>2409</v>
      </c>
      <c r="D701" s="3">
        <v>0</v>
      </c>
      <c r="E701" s="3">
        <v>0</v>
      </c>
      <c r="F701" s="3">
        <v>0</v>
      </c>
      <c r="G701" s="3">
        <v>0</v>
      </c>
      <c r="H701" s="342">
        <v>0</v>
      </c>
      <c r="I701" s="335"/>
    </row>
    <row r="702" spans="1:9" x14ac:dyDescent="0.25">
      <c r="A702" s="340" t="s">
        <v>2580</v>
      </c>
      <c r="B702" s="335"/>
      <c r="C702" s="1" t="s">
        <v>2</v>
      </c>
      <c r="D702" s="4">
        <v>0</v>
      </c>
      <c r="E702" s="4">
        <v>0</v>
      </c>
      <c r="F702" s="4">
        <v>0</v>
      </c>
      <c r="G702" s="4">
        <v>0</v>
      </c>
      <c r="H702" s="343">
        <v>0</v>
      </c>
      <c r="I702" s="335"/>
    </row>
    <row r="703" spans="1:9" x14ac:dyDescent="0.25">
      <c r="A703" s="340" t="s">
        <v>2</v>
      </c>
      <c r="B703" s="335"/>
      <c r="C703" s="1" t="s">
        <v>2</v>
      </c>
      <c r="D703" s="1" t="s">
        <v>2</v>
      </c>
      <c r="E703" s="1" t="s">
        <v>2</v>
      </c>
      <c r="F703" s="1" t="s">
        <v>2</v>
      </c>
      <c r="G703" s="1" t="s">
        <v>2</v>
      </c>
      <c r="H703" s="340" t="s">
        <v>2</v>
      </c>
      <c r="I703" s="335"/>
    </row>
    <row r="704" spans="1:9" x14ac:dyDescent="0.25">
      <c r="A704" s="341" t="s">
        <v>2776</v>
      </c>
      <c r="B704" s="335"/>
      <c r="C704" s="2" t="s">
        <v>2777</v>
      </c>
      <c r="D704" s="3">
        <v>3665.06</v>
      </c>
      <c r="E704" s="3">
        <v>13354.55</v>
      </c>
      <c r="F704" s="3">
        <v>3896.92</v>
      </c>
      <c r="G704" s="3">
        <v>1832.53</v>
      </c>
      <c r="H704" s="342">
        <v>0</v>
      </c>
      <c r="I704" s="335"/>
    </row>
    <row r="705" spans="1:9" x14ac:dyDescent="0.25">
      <c r="A705" s="340" t="s">
        <v>3372</v>
      </c>
      <c r="B705" s="335"/>
      <c r="C705" s="1" t="s">
        <v>2</v>
      </c>
    </row>
    <row r="706" spans="1:9" x14ac:dyDescent="0.25">
      <c r="A706" s="340" t="s">
        <v>3371</v>
      </c>
      <c r="B706" s="335"/>
      <c r="C706" s="1" t="s">
        <v>2</v>
      </c>
    </row>
    <row r="707" spans="1:9" x14ac:dyDescent="0.25">
      <c r="A707" s="341" t="s">
        <v>2778</v>
      </c>
      <c r="B707" s="335"/>
      <c r="C707" s="2" t="s">
        <v>2779</v>
      </c>
      <c r="D707" s="3">
        <v>0</v>
      </c>
      <c r="E707" s="3">
        <v>3170.84</v>
      </c>
      <c r="F707" s="3">
        <v>0</v>
      </c>
      <c r="G707" s="3">
        <v>0</v>
      </c>
      <c r="H707" s="342">
        <v>0</v>
      </c>
      <c r="I707" s="335"/>
    </row>
    <row r="708" spans="1:9" x14ac:dyDescent="0.25">
      <c r="A708" s="340" t="s">
        <v>3370</v>
      </c>
      <c r="B708" s="335"/>
      <c r="C708" s="1" t="s">
        <v>2</v>
      </c>
      <c r="D708" s="4">
        <v>0</v>
      </c>
      <c r="E708" s="4">
        <v>3170.84</v>
      </c>
      <c r="F708" s="4">
        <v>0</v>
      </c>
      <c r="G708" s="4">
        <v>0</v>
      </c>
      <c r="H708" s="343">
        <v>0</v>
      </c>
      <c r="I708" s="335"/>
    </row>
    <row r="709" spans="1:9" x14ac:dyDescent="0.25">
      <c r="A709" s="340" t="s">
        <v>2</v>
      </c>
      <c r="B709" s="335"/>
      <c r="C709" s="1" t="s">
        <v>2</v>
      </c>
      <c r="D709" s="1" t="s">
        <v>2</v>
      </c>
      <c r="E709" s="1" t="s">
        <v>2</v>
      </c>
      <c r="F709" s="1" t="s">
        <v>2</v>
      </c>
      <c r="G709" s="1" t="s">
        <v>2</v>
      </c>
      <c r="H709" s="340" t="s">
        <v>2</v>
      </c>
      <c r="I709" s="335"/>
    </row>
    <row r="710" spans="1:9" x14ac:dyDescent="0.25">
      <c r="A710" s="340" t="s">
        <v>3369</v>
      </c>
      <c r="B710" s="335"/>
      <c r="C710" s="1" t="s">
        <v>2</v>
      </c>
      <c r="D710" s="4">
        <v>0</v>
      </c>
      <c r="E710" s="4">
        <v>3170.84</v>
      </c>
      <c r="F710" s="4">
        <v>0</v>
      </c>
      <c r="G710" s="4">
        <v>0</v>
      </c>
      <c r="H710" s="343">
        <v>0</v>
      </c>
      <c r="I710" s="335"/>
    </row>
    <row r="711" spans="1:9" x14ac:dyDescent="0.25">
      <c r="A711" s="340" t="s">
        <v>2</v>
      </c>
      <c r="B711" s="335"/>
      <c r="C711" s="1" t="s">
        <v>2</v>
      </c>
      <c r="D711" s="1" t="s">
        <v>2</v>
      </c>
      <c r="E711" s="1" t="s">
        <v>2</v>
      </c>
      <c r="F711" s="1" t="s">
        <v>2</v>
      </c>
      <c r="G711" s="1" t="s">
        <v>2</v>
      </c>
      <c r="H711" s="340" t="s">
        <v>2</v>
      </c>
      <c r="I711" s="335"/>
    </row>
    <row r="712" spans="1:9" x14ac:dyDescent="0.25">
      <c r="A712" s="340" t="s">
        <v>2179</v>
      </c>
      <c r="B712" s="335"/>
      <c r="C712" s="1" t="s">
        <v>2</v>
      </c>
      <c r="D712" s="4">
        <v>3665.06</v>
      </c>
      <c r="E712" s="4">
        <v>16525.39</v>
      </c>
      <c r="F712" s="4">
        <v>3896.92</v>
      </c>
      <c r="G712" s="49">
        <v>1832.53</v>
      </c>
      <c r="H712" s="343">
        <v>0</v>
      </c>
      <c r="I712" s="335"/>
    </row>
    <row r="713" spans="1:9" x14ac:dyDescent="0.25">
      <c r="A713" s="340" t="s">
        <v>2</v>
      </c>
      <c r="B713" s="335"/>
      <c r="C713" s="1" t="s">
        <v>2</v>
      </c>
      <c r="D713" s="1" t="s">
        <v>2</v>
      </c>
      <c r="E713" s="1" t="s">
        <v>2</v>
      </c>
      <c r="F713" s="1" t="s">
        <v>2</v>
      </c>
      <c r="G713" s="1" t="s">
        <v>2</v>
      </c>
      <c r="H713" s="340" t="s">
        <v>2</v>
      </c>
      <c r="I713" s="335"/>
    </row>
    <row r="714" spans="1:9" x14ac:dyDescent="0.25">
      <c r="A714" s="340" t="s">
        <v>2780</v>
      </c>
      <c r="B714" s="335"/>
      <c r="C714" s="1" t="s">
        <v>2</v>
      </c>
    </row>
    <row r="715" spans="1:9" x14ac:dyDescent="0.25">
      <c r="A715" s="340" t="s">
        <v>3368</v>
      </c>
      <c r="B715" s="335"/>
      <c r="C715" s="1" t="s">
        <v>2</v>
      </c>
    </row>
    <row r="716" spans="1:9" x14ac:dyDescent="0.25">
      <c r="A716" s="341" t="s">
        <v>2781</v>
      </c>
      <c r="B716" s="335"/>
      <c r="C716" s="2" t="s">
        <v>2782</v>
      </c>
      <c r="D716" s="3">
        <v>9852.2900000000009</v>
      </c>
      <c r="E716" s="3">
        <v>29084.45</v>
      </c>
      <c r="F716" s="3">
        <v>14660.39</v>
      </c>
      <c r="G716" s="3">
        <v>9855.2900000000009</v>
      </c>
      <c r="H716" s="342">
        <v>0</v>
      </c>
      <c r="I716" s="335"/>
    </row>
    <row r="717" spans="1:9" x14ac:dyDescent="0.25">
      <c r="A717" s="340" t="s">
        <v>3367</v>
      </c>
      <c r="B717" s="335"/>
      <c r="C717" s="1" t="s">
        <v>2</v>
      </c>
      <c r="D717" s="4">
        <v>9852.2900000000009</v>
      </c>
      <c r="E717" s="4">
        <v>29084.45</v>
      </c>
      <c r="F717" s="4">
        <v>14660.39</v>
      </c>
      <c r="G717" s="4">
        <v>9855.2900000000009</v>
      </c>
      <c r="H717" s="343">
        <v>0</v>
      </c>
      <c r="I717" s="335"/>
    </row>
    <row r="718" spans="1:9" x14ac:dyDescent="0.25">
      <c r="A718" s="340" t="s">
        <v>2</v>
      </c>
      <c r="B718" s="335"/>
      <c r="C718" s="1" t="s">
        <v>2</v>
      </c>
      <c r="D718" s="1" t="s">
        <v>2</v>
      </c>
      <c r="E718" s="1" t="s">
        <v>2</v>
      </c>
      <c r="F718" s="1" t="s">
        <v>2</v>
      </c>
      <c r="G718" s="1" t="s">
        <v>2</v>
      </c>
      <c r="H718" s="340" t="s">
        <v>2</v>
      </c>
      <c r="I718" s="335"/>
    </row>
    <row r="719" spans="1:9" x14ac:dyDescent="0.25">
      <c r="A719" s="340" t="s">
        <v>2783</v>
      </c>
      <c r="B719" s="335"/>
      <c r="C719" s="1" t="s">
        <v>2</v>
      </c>
      <c r="D719" s="4">
        <v>9852.2900000000009</v>
      </c>
      <c r="E719" s="4">
        <v>29084.45</v>
      </c>
      <c r="F719" s="4">
        <v>14660.39</v>
      </c>
      <c r="G719" s="4">
        <v>9855.2900000000009</v>
      </c>
      <c r="H719" s="343">
        <v>0</v>
      </c>
      <c r="I719" s="335"/>
    </row>
    <row r="720" spans="1:9" x14ac:dyDescent="0.25">
      <c r="A720" s="340" t="s">
        <v>2</v>
      </c>
      <c r="B720" s="335"/>
      <c r="C720" s="1" t="s">
        <v>2</v>
      </c>
      <c r="D720" s="1" t="s">
        <v>2</v>
      </c>
      <c r="E720" s="1" t="s">
        <v>2</v>
      </c>
      <c r="F720" s="1" t="s">
        <v>2</v>
      </c>
      <c r="G720" s="1" t="s">
        <v>2</v>
      </c>
      <c r="H720" s="340" t="s">
        <v>2</v>
      </c>
      <c r="I720" s="335"/>
    </row>
    <row r="721" spans="1:9" x14ac:dyDescent="0.25">
      <c r="A721" s="340" t="s">
        <v>2180</v>
      </c>
      <c r="B721" s="335"/>
      <c r="C721" s="1" t="s">
        <v>2</v>
      </c>
      <c r="D721" s="4">
        <v>13517.35</v>
      </c>
      <c r="E721" s="4">
        <v>45609.84</v>
      </c>
      <c r="F721" s="4">
        <v>18557.310000000001</v>
      </c>
      <c r="G721" s="49">
        <v>11687.82</v>
      </c>
      <c r="H721" s="343">
        <v>0</v>
      </c>
      <c r="I721" s="335"/>
    </row>
    <row r="722" spans="1:9" x14ac:dyDescent="0.25">
      <c r="A722" s="340" t="s">
        <v>2</v>
      </c>
      <c r="B722" s="335"/>
      <c r="C722" s="1" t="s">
        <v>2</v>
      </c>
      <c r="D722" s="1" t="s">
        <v>2</v>
      </c>
      <c r="E722" s="1" t="s">
        <v>2</v>
      </c>
      <c r="F722" s="1" t="s">
        <v>2</v>
      </c>
      <c r="G722" s="1" t="s">
        <v>2</v>
      </c>
      <c r="H722" s="340" t="s">
        <v>2</v>
      </c>
      <c r="I722" s="335"/>
    </row>
    <row r="723" spans="1:9" x14ac:dyDescent="0.25">
      <c r="A723" s="340" t="s">
        <v>2553</v>
      </c>
      <c r="B723" s="335"/>
      <c r="C723" s="1" t="s">
        <v>2</v>
      </c>
    </row>
    <row r="724" spans="1:9" x14ac:dyDescent="0.25">
      <c r="A724" s="340" t="s">
        <v>2724</v>
      </c>
      <c r="B724" s="335"/>
      <c r="C724" s="1" t="s">
        <v>2</v>
      </c>
    </row>
    <row r="725" spans="1:9" x14ac:dyDescent="0.25">
      <c r="A725" s="341" t="s">
        <v>2784</v>
      </c>
      <c r="B725" s="335"/>
      <c r="C725" s="2" t="s">
        <v>2785</v>
      </c>
      <c r="D725" s="3">
        <v>0</v>
      </c>
      <c r="E725" s="3">
        <v>0</v>
      </c>
      <c r="F725" s="3">
        <v>0</v>
      </c>
      <c r="G725" s="3">
        <v>0</v>
      </c>
      <c r="H725" s="342">
        <v>0</v>
      </c>
      <c r="I725" s="335"/>
    </row>
    <row r="726" spans="1:9" x14ac:dyDescent="0.25">
      <c r="A726" s="340" t="s">
        <v>2725</v>
      </c>
      <c r="B726" s="335"/>
      <c r="C726" s="1" t="s">
        <v>2</v>
      </c>
      <c r="D726" s="4">
        <v>0</v>
      </c>
      <c r="E726" s="4">
        <v>0</v>
      </c>
      <c r="F726" s="4">
        <v>0</v>
      </c>
      <c r="G726" s="4">
        <v>0</v>
      </c>
      <c r="H726" s="343">
        <v>0</v>
      </c>
      <c r="I726" s="335"/>
    </row>
    <row r="727" spans="1:9" x14ac:dyDescent="0.25">
      <c r="A727" s="340" t="s">
        <v>2</v>
      </c>
      <c r="B727" s="335"/>
      <c r="C727" s="1" t="s">
        <v>2</v>
      </c>
      <c r="D727" s="1" t="s">
        <v>2</v>
      </c>
      <c r="E727" s="1" t="s">
        <v>2</v>
      </c>
      <c r="F727" s="1" t="s">
        <v>2</v>
      </c>
      <c r="G727" s="1" t="s">
        <v>2</v>
      </c>
      <c r="H727" s="340" t="s">
        <v>2</v>
      </c>
      <c r="I727" s="335"/>
    </row>
    <row r="728" spans="1:9" x14ac:dyDescent="0.25">
      <c r="A728" s="340" t="s">
        <v>2556</v>
      </c>
      <c r="B728" s="335"/>
      <c r="C728" s="1" t="s">
        <v>2</v>
      </c>
      <c r="D728" s="4">
        <v>0</v>
      </c>
      <c r="E728" s="4">
        <v>0</v>
      </c>
      <c r="F728" s="4">
        <v>0</v>
      </c>
      <c r="G728" s="4">
        <v>0</v>
      </c>
      <c r="H728" s="343">
        <v>0</v>
      </c>
      <c r="I728" s="335"/>
    </row>
    <row r="729" spans="1:9" x14ac:dyDescent="0.25">
      <c r="A729" s="340" t="s">
        <v>2</v>
      </c>
      <c r="B729" s="335"/>
      <c r="C729" s="1" t="s">
        <v>2</v>
      </c>
      <c r="D729" s="1" t="s">
        <v>2</v>
      </c>
      <c r="E729" s="1" t="s">
        <v>2</v>
      </c>
      <c r="F729" s="1" t="s">
        <v>2</v>
      </c>
      <c r="G729" s="1" t="s">
        <v>2</v>
      </c>
      <c r="H729" s="340" t="s">
        <v>2</v>
      </c>
      <c r="I729" s="335"/>
    </row>
    <row r="730" spans="1:9" x14ac:dyDescent="0.25">
      <c r="A730" s="340" t="s">
        <v>2047</v>
      </c>
      <c r="B730" s="335"/>
      <c r="C730" s="1" t="s">
        <v>2</v>
      </c>
      <c r="D730" s="4">
        <v>13517.35</v>
      </c>
      <c r="E730" s="4">
        <v>45609.84</v>
      </c>
      <c r="F730" s="4">
        <v>18557.310000000001</v>
      </c>
      <c r="G730" s="4">
        <v>11687.82</v>
      </c>
      <c r="H730" s="343">
        <v>0</v>
      </c>
      <c r="I730" s="335"/>
    </row>
    <row r="731" spans="1:9" x14ac:dyDescent="0.25">
      <c r="A731" s="340" t="s">
        <v>2</v>
      </c>
      <c r="B731" s="335"/>
      <c r="C731" s="1" t="s">
        <v>2</v>
      </c>
      <c r="D731" s="1" t="s">
        <v>2</v>
      </c>
      <c r="E731" s="1" t="s">
        <v>2</v>
      </c>
      <c r="F731" s="1" t="s">
        <v>2</v>
      </c>
      <c r="G731" s="1" t="s">
        <v>2</v>
      </c>
      <c r="H731" s="340" t="s">
        <v>2</v>
      </c>
      <c r="I731" s="335"/>
    </row>
    <row r="732" spans="1:9" x14ac:dyDescent="0.25">
      <c r="A732" s="340" t="s">
        <v>1169</v>
      </c>
      <c r="B732" s="335"/>
      <c r="C732" s="1" t="s">
        <v>2</v>
      </c>
      <c r="D732" s="4">
        <v>13517.35</v>
      </c>
      <c r="E732" s="4">
        <v>45609.84</v>
      </c>
      <c r="F732" s="4">
        <v>18557.310000000001</v>
      </c>
      <c r="G732" s="49">
        <v>11687.82</v>
      </c>
      <c r="H732" s="343">
        <v>0</v>
      </c>
      <c r="I732" s="335"/>
    </row>
    <row r="733" spans="1:9" x14ac:dyDescent="0.25">
      <c r="A733" s="340" t="s">
        <v>2</v>
      </c>
      <c r="B733" s="335"/>
      <c r="C733" s="1" t="s">
        <v>2</v>
      </c>
      <c r="D733" s="1" t="s">
        <v>2</v>
      </c>
      <c r="E733" s="1" t="s">
        <v>2</v>
      </c>
      <c r="F733" s="1" t="s">
        <v>2</v>
      </c>
      <c r="G733" s="1" t="s">
        <v>2</v>
      </c>
      <c r="H733" s="340" t="s">
        <v>2</v>
      </c>
      <c r="I733" s="335"/>
    </row>
    <row r="734" spans="1:9" x14ac:dyDescent="0.25">
      <c r="A734" s="340" t="s">
        <v>1170</v>
      </c>
      <c r="B734" s="335"/>
      <c r="C734" s="1" t="s">
        <v>2</v>
      </c>
    </row>
    <row r="735" spans="1:9" x14ac:dyDescent="0.25">
      <c r="A735" s="340" t="s">
        <v>2026</v>
      </c>
      <c r="B735" s="335"/>
      <c r="C735" s="1" t="s">
        <v>2</v>
      </c>
    </row>
    <row r="736" spans="1:9" x14ac:dyDescent="0.25">
      <c r="A736" s="340" t="s">
        <v>2175</v>
      </c>
      <c r="B736" s="335"/>
      <c r="C736" s="1" t="s">
        <v>2</v>
      </c>
    </row>
    <row r="737" spans="1:9" x14ac:dyDescent="0.25">
      <c r="A737" s="340" t="s">
        <v>2176</v>
      </c>
      <c r="B737" s="335"/>
      <c r="C737" s="1" t="s">
        <v>2</v>
      </c>
    </row>
    <row r="738" spans="1:9" x14ac:dyDescent="0.25">
      <c r="A738" s="340" t="s">
        <v>2564</v>
      </c>
      <c r="B738" s="335"/>
      <c r="C738" s="1" t="s">
        <v>2</v>
      </c>
    </row>
    <row r="739" spans="1:9" x14ac:dyDescent="0.25">
      <c r="A739" s="341" t="s">
        <v>2788</v>
      </c>
      <c r="B739" s="335"/>
      <c r="C739" s="2" t="s">
        <v>2409</v>
      </c>
      <c r="D739" s="3">
        <v>675.25</v>
      </c>
      <c r="E739" s="3">
        <v>188.9</v>
      </c>
      <c r="F739" s="3">
        <v>31.43</v>
      </c>
      <c r="G739" s="3">
        <v>64.63</v>
      </c>
      <c r="H739" s="342">
        <v>0</v>
      </c>
      <c r="I739" s="335"/>
    </row>
    <row r="740" spans="1:9" x14ac:dyDescent="0.25">
      <c r="A740" s="340" t="s">
        <v>2580</v>
      </c>
      <c r="B740" s="335"/>
      <c r="C740" s="1" t="s">
        <v>2</v>
      </c>
      <c r="D740" s="4">
        <v>675.25</v>
      </c>
      <c r="E740" s="4">
        <v>188.9</v>
      </c>
      <c r="F740" s="4">
        <v>31.43</v>
      </c>
      <c r="G740" s="4">
        <v>64.63</v>
      </c>
      <c r="H740" s="343">
        <v>0</v>
      </c>
      <c r="I740" s="335"/>
    </row>
    <row r="741" spans="1:9" x14ac:dyDescent="0.25">
      <c r="A741" s="340" t="s">
        <v>2</v>
      </c>
      <c r="B741" s="335"/>
      <c r="C741" s="1" t="s">
        <v>2</v>
      </c>
      <c r="D741" s="1" t="s">
        <v>2</v>
      </c>
      <c r="E741" s="1" t="s">
        <v>2</v>
      </c>
      <c r="F741" s="1" t="s">
        <v>2</v>
      </c>
      <c r="G741" s="1" t="s">
        <v>2</v>
      </c>
      <c r="H741" s="340" t="s">
        <v>2</v>
      </c>
      <c r="I741" s="335"/>
    </row>
    <row r="742" spans="1:9" x14ac:dyDescent="0.25">
      <c r="A742" s="340" t="s">
        <v>2179</v>
      </c>
      <c r="B742" s="335"/>
      <c r="C742" s="1" t="s">
        <v>2</v>
      </c>
      <c r="D742" s="4">
        <v>675.25</v>
      </c>
      <c r="E742" s="4">
        <v>188.9</v>
      </c>
      <c r="F742" s="4">
        <v>31.43</v>
      </c>
      <c r="G742" s="4">
        <v>64.63</v>
      </c>
      <c r="H742" s="343">
        <v>0</v>
      </c>
      <c r="I742" s="335"/>
    </row>
    <row r="743" spans="1:9" x14ac:dyDescent="0.25">
      <c r="A743" s="340" t="s">
        <v>2</v>
      </c>
      <c r="B743" s="335"/>
      <c r="C743" s="1" t="s">
        <v>2</v>
      </c>
      <c r="D743" s="1" t="s">
        <v>2</v>
      </c>
      <c r="E743" s="1" t="s">
        <v>2</v>
      </c>
      <c r="F743" s="1" t="s">
        <v>2</v>
      </c>
      <c r="G743" s="1" t="s">
        <v>2</v>
      </c>
      <c r="H743" s="340" t="s">
        <v>2</v>
      </c>
      <c r="I743" s="335"/>
    </row>
    <row r="744" spans="1:9" x14ac:dyDescent="0.25">
      <c r="A744" s="340" t="s">
        <v>2180</v>
      </c>
      <c r="B744" s="335"/>
      <c r="C744" s="1" t="s">
        <v>2</v>
      </c>
      <c r="D744" s="4">
        <v>675.25</v>
      </c>
      <c r="E744" s="4">
        <v>188.9</v>
      </c>
      <c r="F744" s="4">
        <v>31.43</v>
      </c>
      <c r="G744" s="4">
        <v>64.63</v>
      </c>
      <c r="H744" s="343">
        <v>0</v>
      </c>
      <c r="I744" s="335"/>
    </row>
    <row r="745" spans="1:9" x14ac:dyDescent="0.25">
      <c r="A745" s="340" t="s">
        <v>2</v>
      </c>
      <c r="B745" s="335"/>
      <c r="C745" s="1" t="s">
        <v>2</v>
      </c>
      <c r="D745" s="1" t="s">
        <v>2</v>
      </c>
      <c r="E745" s="1" t="s">
        <v>2</v>
      </c>
      <c r="F745" s="1" t="s">
        <v>2</v>
      </c>
      <c r="G745" s="1" t="s">
        <v>2</v>
      </c>
      <c r="H745" s="340" t="s">
        <v>2</v>
      </c>
      <c r="I745" s="335"/>
    </row>
    <row r="746" spans="1:9" x14ac:dyDescent="0.25">
      <c r="A746" s="340" t="s">
        <v>2047</v>
      </c>
      <c r="B746" s="335"/>
      <c r="C746" s="1" t="s">
        <v>2</v>
      </c>
      <c r="D746" s="4">
        <v>675.25</v>
      </c>
      <c r="E746" s="4">
        <v>188.9</v>
      </c>
      <c r="F746" s="4">
        <v>31.43</v>
      </c>
      <c r="G746" s="4">
        <v>64.63</v>
      </c>
      <c r="H746" s="343">
        <v>0</v>
      </c>
      <c r="I746" s="335"/>
    </row>
    <row r="747" spans="1:9" x14ac:dyDescent="0.25">
      <c r="A747" s="340" t="s">
        <v>2</v>
      </c>
      <c r="B747" s="335"/>
      <c r="C747" s="1" t="s">
        <v>2</v>
      </c>
      <c r="D747" s="1" t="s">
        <v>2</v>
      </c>
      <c r="E747" s="1" t="s">
        <v>2</v>
      </c>
      <c r="F747" s="1" t="s">
        <v>2</v>
      </c>
      <c r="G747" s="1" t="s">
        <v>2</v>
      </c>
      <c r="H747" s="340" t="s">
        <v>2</v>
      </c>
      <c r="I747" s="335"/>
    </row>
    <row r="748" spans="1:9" x14ac:dyDescent="0.25">
      <c r="A748" s="340" t="s">
        <v>1173</v>
      </c>
      <c r="B748" s="335"/>
      <c r="C748" s="1" t="s">
        <v>2</v>
      </c>
      <c r="D748" s="4">
        <v>675.25</v>
      </c>
      <c r="E748" s="4">
        <v>188.9</v>
      </c>
      <c r="F748" s="4">
        <v>31.43</v>
      </c>
      <c r="G748" s="49">
        <v>64.63</v>
      </c>
      <c r="H748" s="343">
        <v>0</v>
      </c>
      <c r="I748" s="335"/>
    </row>
    <row r="749" spans="1:9" x14ac:dyDescent="0.25">
      <c r="A749" s="340" t="s">
        <v>2</v>
      </c>
      <c r="B749" s="335"/>
      <c r="C749" s="1" t="s">
        <v>2</v>
      </c>
      <c r="D749" s="1" t="s">
        <v>2</v>
      </c>
      <c r="E749" s="1" t="s">
        <v>2</v>
      </c>
      <c r="F749" s="1" t="s">
        <v>2</v>
      </c>
      <c r="G749" s="1" t="s">
        <v>2</v>
      </c>
      <c r="H749" s="340" t="s">
        <v>2</v>
      </c>
      <c r="I749" s="335"/>
    </row>
    <row r="750" spans="1:9" x14ac:dyDescent="0.25">
      <c r="A750" s="340" t="s">
        <v>1174</v>
      </c>
      <c r="B750" s="335"/>
      <c r="C750" s="1" t="s">
        <v>2</v>
      </c>
    </row>
    <row r="751" spans="1:9" x14ac:dyDescent="0.25">
      <c r="A751" s="341" t="s">
        <v>2791</v>
      </c>
      <c r="B751" s="335"/>
      <c r="C751" s="2" t="s">
        <v>2409</v>
      </c>
      <c r="D751" s="3">
        <v>2.09</v>
      </c>
      <c r="E751" s="3">
        <v>0.56999999999999995</v>
      </c>
      <c r="F751" s="3">
        <v>0.12</v>
      </c>
      <c r="G751" s="3">
        <v>0.21</v>
      </c>
      <c r="H751" s="342">
        <v>0</v>
      </c>
      <c r="I751" s="335"/>
    </row>
    <row r="752" spans="1:9" ht="24" x14ac:dyDescent="0.25">
      <c r="A752" s="341" t="s">
        <v>2792</v>
      </c>
      <c r="B752" s="335"/>
      <c r="C752" s="2" t="s">
        <v>2793</v>
      </c>
      <c r="D752" s="3">
        <v>26720</v>
      </c>
      <c r="E752" s="3">
        <v>26720</v>
      </c>
      <c r="F752" s="3">
        <v>77066.22</v>
      </c>
      <c r="G752" s="3">
        <v>0</v>
      </c>
      <c r="H752" s="342">
        <v>0</v>
      </c>
      <c r="I752" s="335"/>
    </row>
    <row r="753" spans="1:9" x14ac:dyDescent="0.25">
      <c r="A753" s="340" t="s">
        <v>1177</v>
      </c>
      <c r="B753" s="335"/>
      <c r="C753" s="1" t="s">
        <v>2</v>
      </c>
      <c r="D753" s="4">
        <v>26722.09</v>
      </c>
      <c r="E753" s="4">
        <v>26720.57</v>
      </c>
      <c r="F753" s="4">
        <v>77066.34</v>
      </c>
      <c r="G753" s="49">
        <v>0.21</v>
      </c>
      <c r="H753" s="343">
        <v>0</v>
      </c>
      <c r="I753" s="335"/>
    </row>
    <row r="754" spans="1:9" x14ac:dyDescent="0.25">
      <c r="A754" s="340" t="s">
        <v>2</v>
      </c>
      <c r="B754" s="335"/>
      <c r="C754" s="1" t="s">
        <v>2</v>
      </c>
      <c r="D754" s="1" t="s">
        <v>2</v>
      </c>
      <c r="E754" s="1" t="s">
        <v>2</v>
      </c>
      <c r="F754" s="1" t="s">
        <v>2</v>
      </c>
      <c r="G754" s="1" t="s">
        <v>2</v>
      </c>
      <c r="H754" s="340" t="s">
        <v>2</v>
      </c>
      <c r="I754" s="335"/>
    </row>
    <row r="755" spans="1:9" x14ac:dyDescent="0.25">
      <c r="A755" s="340" t="s">
        <v>3252</v>
      </c>
      <c r="B755" s="335"/>
      <c r="C755" s="1" t="s">
        <v>2</v>
      </c>
    </row>
    <row r="756" spans="1:9" ht="24" x14ac:dyDescent="0.25">
      <c r="A756" s="341" t="s">
        <v>2797</v>
      </c>
      <c r="B756" s="335"/>
      <c r="C756" s="2" t="s">
        <v>2798</v>
      </c>
      <c r="D756" s="3">
        <v>63160.08</v>
      </c>
      <c r="E756" s="3">
        <v>30386.04</v>
      </c>
      <c r="F756" s="3">
        <v>4045.29</v>
      </c>
      <c r="G756" s="3">
        <v>0</v>
      </c>
      <c r="H756" s="342">
        <v>0</v>
      </c>
      <c r="I756" s="335"/>
    </row>
    <row r="757" spans="1:9" x14ac:dyDescent="0.25">
      <c r="A757" s="341" t="s">
        <v>2800</v>
      </c>
      <c r="B757" s="335"/>
      <c r="C757" s="2" t="s">
        <v>2409</v>
      </c>
      <c r="D757" s="3">
        <v>18.37</v>
      </c>
      <c r="E757" s="3">
        <v>5.16</v>
      </c>
      <c r="F757" s="3">
        <v>0.85</v>
      </c>
      <c r="G757" s="3">
        <v>1.77</v>
      </c>
      <c r="H757" s="342">
        <v>0</v>
      </c>
      <c r="I757" s="335"/>
    </row>
    <row r="758" spans="1:9" x14ac:dyDescent="0.25">
      <c r="A758" s="341" t="s">
        <v>2801</v>
      </c>
      <c r="B758" s="335"/>
      <c r="C758" s="2" t="s">
        <v>704</v>
      </c>
      <c r="D758" s="3">
        <v>0</v>
      </c>
      <c r="E758" s="3">
        <v>0</v>
      </c>
      <c r="F758" s="3">
        <v>263317.43</v>
      </c>
      <c r="G758" s="3">
        <v>0</v>
      </c>
      <c r="H758" s="342">
        <v>0</v>
      </c>
      <c r="I758" s="335"/>
    </row>
    <row r="759" spans="1:9" x14ac:dyDescent="0.25">
      <c r="A759" s="341" t="s">
        <v>2802</v>
      </c>
      <c r="B759" s="335"/>
      <c r="C759" s="2" t="s">
        <v>2803</v>
      </c>
      <c r="D759" s="3">
        <v>0</v>
      </c>
      <c r="E759" s="3">
        <v>148.66999999999999</v>
      </c>
      <c r="F759" s="3">
        <v>0</v>
      </c>
      <c r="G759" s="3">
        <v>0</v>
      </c>
      <c r="H759" s="342">
        <v>0</v>
      </c>
      <c r="I759" s="335"/>
    </row>
    <row r="760" spans="1:9" ht="24" x14ac:dyDescent="0.25">
      <c r="A760" s="341" t="s">
        <v>2804</v>
      </c>
      <c r="B760" s="335"/>
      <c r="C760" s="2" t="s">
        <v>2805</v>
      </c>
      <c r="D760" s="3">
        <v>0</v>
      </c>
      <c r="E760" s="3">
        <v>3167851.33</v>
      </c>
      <c r="F760" s="3">
        <v>0</v>
      </c>
      <c r="G760" s="3">
        <v>0</v>
      </c>
      <c r="H760" s="342">
        <v>0</v>
      </c>
      <c r="I760" s="335"/>
    </row>
    <row r="761" spans="1:9" ht="24" x14ac:dyDescent="0.25">
      <c r="A761" s="341" t="s">
        <v>2806</v>
      </c>
      <c r="B761" s="335"/>
      <c r="C761" s="2" t="s">
        <v>2807</v>
      </c>
      <c r="D761" s="3">
        <v>226668.15</v>
      </c>
      <c r="E761" s="3">
        <v>226749.77</v>
      </c>
      <c r="F761" s="3">
        <v>190492.79999999999</v>
      </c>
      <c r="G761" s="3">
        <v>12545.66</v>
      </c>
      <c r="H761" s="342">
        <v>0</v>
      </c>
      <c r="I761" s="335"/>
    </row>
    <row r="762" spans="1:9" x14ac:dyDescent="0.25">
      <c r="A762" s="341" t="s">
        <v>2808</v>
      </c>
      <c r="B762" s="335"/>
      <c r="C762" s="2" t="s">
        <v>2809</v>
      </c>
      <c r="D762" s="3">
        <v>71335.789999999994</v>
      </c>
      <c r="E762" s="3">
        <v>70859.3</v>
      </c>
      <c r="F762" s="3">
        <v>59529</v>
      </c>
      <c r="G762" s="3">
        <v>3920.52</v>
      </c>
      <c r="H762" s="342">
        <v>0</v>
      </c>
      <c r="I762" s="335"/>
    </row>
    <row r="763" spans="1:9" ht="24" x14ac:dyDescent="0.25">
      <c r="A763" s="341" t="s">
        <v>2810</v>
      </c>
      <c r="B763" s="335"/>
      <c r="C763" s="2" t="s">
        <v>2811</v>
      </c>
      <c r="D763" s="3">
        <v>29373.79</v>
      </c>
      <c r="E763" s="3">
        <v>28343.73</v>
      </c>
      <c r="F763" s="3">
        <v>23811.599999999999</v>
      </c>
      <c r="G763" s="3">
        <v>1568.21</v>
      </c>
      <c r="H763" s="342">
        <v>0</v>
      </c>
      <c r="I763" s="335"/>
    </row>
    <row r="764" spans="1:9" ht="24" x14ac:dyDescent="0.25">
      <c r="A764" s="341" t="s">
        <v>2812</v>
      </c>
      <c r="B764" s="335"/>
      <c r="C764" s="2" t="s">
        <v>2813</v>
      </c>
      <c r="D764" s="3">
        <v>29373.79</v>
      </c>
      <c r="E764" s="3">
        <v>28343.73</v>
      </c>
      <c r="F764" s="3">
        <v>23811.599999999999</v>
      </c>
      <c r="G764" s="3">
        <v>1568.21</v>
      </c>
      <c r="H764" s="342">
        <v>0</v>
      </c>
      <c r="I764" s="335"/>
    </row>
    <row r="765" spans="1:9" x14ac:dyDescent="0.25">
      <c r="A765" s="340" t="s">
        <v>3251</v>
      </c>
      <c r="B765" s="335"/>
      <c r="C765" s="1" t="s">
        <v>2</v>
      </c>
      <c r="D765" s="4">
        <v>419929.97</v>
      </c>
      <c r="E765" s="4">
        <v>3552687.73</v>
      </c>
      <c r="F765" s="4">
        <v>565008.56999999995</v>
      </c>
      <c r="G765" s="49">
        <v>19604.37</v>
      </c>
      <c r="H765" s="343">
        <v>0</v>
      </c>
      <c r="I765" s="335"/>
    </row>
    <row r="766" spans="1:9" x14ac:dyDescent="0.25">
      <c r="A766" s="340" t="s">
        <v>2</v>
      </c>
      <c r="B766" s="335"/>
      <c r="C766" s="1" t="s">
        <v>2</v>
      </c>
      <c r="D766" s="1" t="s">
        <v>2</v>
      </c>
      <c r="E766" s="1" t="s">
        <v>2</v>
      </c>
      <c r="F766" s="1" t="s">
        <v>2</v>
      </c>
      <c r="G766" s="1" t="s">
        <v>2</v>
      </c>
      <c r="H766" s="340" t="s">
        <v>2</v>
      </c>
      <c r="I766" s="335"/>
    </row>
    <row r="767" spans="1:9" x14ac:dyDescent="0.25">
      <c r="A767" s="340" t="s">
        <v>1186</v>
      </c>
      <c r="B767" s="335"/>
      <c r="C767" s="1" t="s">
        <v>2</v>
      </c>
    </row>
    <row r="768" spans="1:9" x14ac:dyDescent="0.25">
      <c r="A768" s="341" t="s">
        <v>2818</v>
      </c>
      <c r="B768" s="335"/>
      <c r="C768" s="2" t="s">
        <v>2409</v>
      </c>
      <c r="D768" s="3">
        <v>52.04</v>
      </c>
      <c r="E768" s="3">
        <v>14.55</v>
      </c>
      <c r="F768" s="3">
        <v>2.1</v>
      </c>
      <c r="G768" s="3">
        <v>4.33</v>
      </c>
      <c r="H768" s="342">
        <v>0</v>
      </c>
      <c r="I768" s="335"/>
    </row>
    <row r="769" spans="1:9" ht="24" x14ac:dyDescent="0.25">
      <c r="A769" s="341" t="s">
        <v>2819</v>
      </c>
      <c r="B769" s="335"/>
      <c r="C769" s="2" t="s">
        <v>2820</v>
      </c>
      <c r="D769" s="3">
        <v>81887.5</v>
      </c>
      <c r="E769" s="3">
        <v>79400</v>
      </c>
      <c r="F769" s="3">
        <v>79400</v>
      </c>
      <c r="G769" s="3">
        <v>5900</v>
      </c>
      <c r="H769" s="342">
        <v>0</v>
      </c>
      <c r="I769" s="335"/>
    </row>
    <row r="770" spans="1:9" ht="24" x14ac:dyDescent="0.25">
      <c r="A770" s="341" t="s">
        <v>2821</v>
      </c>
      <c r="B770" s="335"/>
      <c r="C770" s="2" t="s">
        <v>2822</v>
      </c>
      <c r="D770" s="3">
        <v>81887.5</v>
      </c>
      <c r="E770" s="3">
        <v>79400</v>
      </c>
      <c r="F770" s="3">
        <v>79400</v>
      </c>
      <c r="G770" s="3">
        <v>5900</v>
      </c>
      <c r="H770" s="342">
        <v>0</v>
      </c>
      <c r="I770" s="335"/>
    </row>
    <row r="771" spans="1:9" x14ac:dyDescent="0.25">
      <c r="A771" s="340" t="s">
        <v>1190</v>
      </c>
      <c r="B771" s="335"/>
      <c r="C771" s="1" t="s">
        <v>2</v>
      </c>
      <c r="D771" s="4">
        <v>163827.04</v>
      </c>
      <c r="E771" s="4">
        <v>158814.54999999999</v>
      </c>
      <c r="F771" s="4">
        <v>158802.1</v>
      </c>
      <c r="G771" s="49">
        <v>11804.33</v>
      </c>
      <c r="H771" s="343">
        <v>0</v>
      </c>
      <c r="I771" s="335"/>
    </row>
    <row r="772" spans="1:9" x14ac:dyDescent="0.25">
      <c r="A772" s="340" t="s">
        <v>2</v>
      </c>
      <c r="B772" s="335"/>
      <c r="C772" s="1" t="s">
        <v>2</v>
      </c>
      <c r="D772" s="1" t="s">
        <v>2</v>
      </c>
      <c r="E772" s="1" t="s">
        <v>2</v>
      </c>
      <c r="F772" s="1" t="s">
        <v>2</v>
      </c>
      <c r="G772" s="1" t="s">
        <v>2</v>
      </c>
      <c r="H772" s="340" t="s">
        <v>2</v>
      </c>
      <c r="I772" s="335"/>
    </row>
    <row r="773" spans="1:9" x14ac:dyDescent="0.25">
      <c r="A773" s="340" t="s">
        <v>1191</v>
      </c>
      <c r="B773" s="335"/>
      <c r="C773" s="1" t="s">
        <v>2</v>
      </c>
    </row>
    <row r="774" spans="1:9" x14ac:dyDescent="0.25">
      <c r="A774" s="341" t="s">
        <v>2825</v>
      </c>
      <c r="B774" s="335"/>
      <c r="C774" s="2" t="s">
        <v>2826</v>
      </c>
      <c r="D774" s="3">
        <v>63380.55</v>
      </c>
      <c r="E774" s="3">
        <v>63573</v>
      </c>
      <c r="F774" s="3">
        <v>64321.89</v>
      </c>
      <c r="G774" s="3">
        <v>35765.15</v>
      </c>
      <c r="H774" s="342">
        <v>0</v>
      </c>
      <c r="I774" s="335"/>
    </row>
    <row r="775" spans="1:9" x14ac:dyDescent="0.25">
      <c r="A775" s="341" t="s">
        <v>2827</v>
      </c>
      <c r="B775" s="335"/>
      <c r="C775" s="2" t="s">
        <v>2409</v>
      </c>
      <c r="D775" s="3">
        <v>2.7</v>
      </c>
      <c r="E775" s="3">
        <v>0.77</v>
      </c>
      <c r="F775" s="3">
        <v>0.13</v>
      </c>
      <c r="G775" s="3">
        <v>0.26</v>
      </c>
      <c r="H775" s="342">
        <v>0</v>
      </c>
      <c r="I775" s="335"/>
    </row>
    <row r="776" spans="1:9" ht="24" x14ac:dyDescent="0.25">
      <c r="A776" s="341" t="s">
        <v>2828</v>
      </c>
      <c r="B776" s="335"/>
      <c r="C776" s="2" t="s">
        <v>2829</v>
      </c>
      <c r="D776" s="3">
        <v>57369</v>
      </c>
      <c r="E776" s="3">
        <v>56194.52</v>
      </c>
      <c r="F776" s="3">
        <v>57369</v>
      </c>
      <c r="G776" s="3">
        <v>28097.26</v>
      </c>
      <c r="H776" s="342">
        <v>0</v>
      </c>
      <c r="I776" s="335"/>
    </row>
    <row r="777" spans="1:9" x14ac:dyDescent="0.25">
      <c r="A777" s="341" t="s">
        <v>2830</v>
      </c>
      <c r="B777" s="335"/>
      <c r="C777" s="2" t="s">
        <v>2809</v>
      </c>
      <c r="D777" s="3">
        <v>64793</v>
      </c>
      <c r="E777" s="3">
        <v>65967.48</v>
      </c>
      <c r="F777" s="3">
        <v>64794</v>
      </c>
      <c r="G777" s="3">
        <v>32983.74</v>
      </c>
      <c r="H777" s="342">
        <v>0</v>
      </c>
      <c r="I777" s="335"/>
    </row>
    <row r="778" spans="1:9" x14ac:dyDescent="0.25">
      <c r="A778" s="340" t="s">
        <v>1194</v>
      </c>
      <c r="B778" s="335"/>
      <c r="C778" s="1" t="s">
        <v>2</v>
      </c>
      <c r="D778" s="4">
        <v>185545.25</v>
      </c>
      <c r="E778" s="4">
        <v>185735.77</v>
      </c>
      <c r="F778" s="4">
        <v>186485.02</v>
      </c>
      <c r="G778" s="49">
        <v>96846.41</v>
      </c>
      <c r="H778" s="343">
        <v>0</v>
      </c>
      <c r="I778" s="335"/>
    </row>
    <row r="779" spans="1:9" x14ac:dyDescent="0.25">
      <c r="A779" s="340" t="s">
        <v>2</v>
      </c>
      <c r="B779" s="335"/>
      <c r="C779" s="1" t="s">
        <v>2</v>
      </c>
      <c r="D779" s="1" t="s">
        <v>2</v>
      </c>
      <c r="E779" s="1" t="s">
        <v>2</v>
      </c>
      <c r="F779" s="1" t="s">
        <v>2</v>
      </c>
      <c r="G779" s="1" t="s">
        <v>2</v>
      </c>
      <c r="H779" s="340" t="s">
        <v>2</v>
      </c>
      <c r="I779" s="335"/>
    </row>
    <row r="780" spans="1:9" x14ac:dyDescent="0.25">
      <c r="A780" s="340" t="s">
        <v>1195</v>
      </c>
      <c r="B780" s="335"/>
      <c r="C780" s="1" t="s">
        <v>2</v>
      </c>
    </row>
    <row r="781" spans="1:9" x14ac:dyDescent="0.25">
      <c r="A781" s="341" t="s">
        <v>2833</v>
      </c>
      <c r="B781" s="335"/>
      <c r="C781" s="2" t="s">
        <v>2834</v>
      </c>
      <c r="D781" s="3">
        <v>420512.01</v>
      </c>
      <c r="E781" s="3">
        <v>570138.24</v>
      </c>
      <c r="F781" s="3">
        <v>842615.03</v>
      </c>
      <c r="G781" s="3">
        <v>527985.68000000005</v>
      </c>
      <c r="H781" s="342">
        <v>0</v>
      </c>
      <c r="I781" s="335"/>
    </row>
    <row r="782" spans="1:9" x14ac:dyDescent="0.25">
      <c r="A782" s="341" t="s">
        <v>2835</v>
      </c>
      <c r="B782" s="335"/>
      <c r="C782" s="2" t="s">
        <v>2409</v>
      </c>
      <c r="D782" s="3">
        <v>4150.96</v>
      </c>
      <c r="E782" s="3">
        <v>1549.78</v>
      </c>
      <c r="F782" s="3">
        <v>492.85</v>
      </c>
      <c r="G782" s="3">
        <v>1210.93</v>
      </c>
      <c r="H782" s="342">
        <v>0</v>
      </c>
      <c r="I782" s="335"/>
    </row>
    <row r="783" spans="1:9" x14ac:dyDescent="0.25">
      <c r="A783" s="341" t="s">
        <v>2836</v>
      </c>
      <c r="B783" s="335"/>
      <c r="C783" s="2" t="s">
        <v>2703</v>
      </c>
      <c r="D783" s="3">
        <v>0</v>
      </c>
      <c r="E783" s="3">
        <v>0</v>
      </c>
      <c r="F783" s="3">
        <v>0</v>
      </c>
      <c r="G783" s="3">
        <v>0</v>
      </c>
      <c r="H783" s="342">
        <v>0</v>
      </c>
      <c r="I783" s="335"/>
    </row>
    <row r="784" spans="1:9" x14ac:dyDescent="0.25">
      <c r="A784" s="340" t="s">
        <v>1210</v>
      </c>
      <c r="B784" s="335"/>
      <c r="C784" s="1" t="s">
        <v>2</v>
      </c>
      <c r="D784" s="4">
        <v>424662.97</v>
      </c>
      <c r="E784" s="4">
        <v>571688.02</v>
      </c>
      <c r="F784" s="4">
        <v>843107.88</v>
      </c>
      <c r="G784" s="49">
        <v>529196.61</v>
      </c>
      <c r="H784" s="343">
        <v>0</v>
      </c>
      <c r="I784" s="335"/>
    </row>
    <row r="785" spans="1:9" x14ac:dyDescent="0.25">
      <c r="A785" s="340" t="s">
        <v>2</v>
      </c>
      <c r="B785" s="335"/>
      <c r="C785" s="1" t="s">
        <v>2</v>
      </c>
      <c r="D785" s="1" t="s">
        <v>2</v>
      </c>
      <c r="E785" s="1" t="s">
        <v>2</v>
      </c>
      <c r="F785" s="1" t="s">
        <v>2</v>
      </c>
      <c r="G785" s="1" t="s">
        <v>2</v>
      </c>
      <c r="H785" s="340" t="s">
        <v>2</v>
      </c>
      <c r="I785" s="335"/>
    </row>
    <row r="786" spans="1:9" x14ac:dyDescent="0.25">
      <c r="A786" s="340" t="s">
        <v>1211</v>
      </c>
      <c r="B786" s="335"/>
      <c r="C786" s="1" t="s">
        <v>2</v>
      </c>
    </row>
    <row r="787" spans="1:9" x14ac:dyDescent="0.25">
      <c r="A787" s="341" t="s">
        <v>2839</v>
      </c>
      <c r="B787" s="335"/>
      <c r="C787" s="2" t="s">
        <v>2840</v>
      </c>
      <c r="D787" s="3">
        <v>420511.98</v>
      </c>
      <c r="E787" s="3">
        <v>568756.97</v>
      </c>
      <c r="F787" s="3">
        <v>842615.03</v>
      </c>
      <c r="G787" s="3">
        <v>527985.66</v>
      </c>
      <c r="H787" s="342">
        <v>0</v>
      </c>
      <c r="I787" s="335"/>
    </row>
    <row r="788" spans="1:9" x14ac:dyDescent="0.25">
      <c r="A788" s="341" t="s">
        <v>2841</v>
      </c>
      <c r="B788" s="335"/>
      <c r="C788" s="2" t="s">
        <v>2409</v>
      </c>
      <c r="D788" s="3">
        <v>10640</v>
      </c>
      <c r="E788" s="3">
        <v>3293.6</v>
      </c>
      <c r="F788" s="3">
        <v>971.16</v>
      </c>
      <c r="G788" s="3">
        <v>2752.05</v>
      </c>
      <c r="H788" s="342">
        <v>0</v>
      </c>
      <c r="I788" s="335"/>
    </row>
    <row r="789" spans="1:9" x14ac:dyDescent="0.25">
      <c r="A789" s="341" t="s">
        <v>2842</v>
      </c>
      <c r="B789" s="335"/>
      <c r="C789" s="2" t="s">
        <v>2703</v>
      </c>
      <c r="D789" s="3">
        <v>0</v>
      </c>
      <c r="E789" s="3">
        <v>0</v>
      </c>
      <c r="F789" s="3">
        <v>0</v>
      </c>
      <c r="G789" s="3">
        <v>0</v>
      </c>
      <c r="H789" s="342">
        <v>0</v>
      </c>
      <c r="I789" s="335"/>
    </row>
    <row r="790" spans="1:9" ht="24" x14ac:dyDescent="0.25">
      <c r="A790" s="341" t="s">
        <v>2843</v>
      </c>
      <c r="B790" s="335"/>
      <c r="C790" s="2" t="s">
        <v>2844</v>
      </c>
      <c r="D790" s="3">
        <v>0</v>
      </c>
      <c r="E790" s="3">
        <v>0</v>
      </c>
      <c r="F790" s="3">
        <v>0</v>
      </c>
      <c r="G790" s="3">
        <v>0</v>
      </c>
      <c r="H790" s="342">
        <v>0</v>
      </c>
      <c r="I790" s="335"/>
    </row>
    <row r="791" spans="1:9" x14ac:dyDescent="0.25">
      <c r="A791" s="340" t="s">
        <v>1220</v>
      </c>
      <c r="B791" s="335"/>
      <c r="C791" s="1" t="s">
        <v>2</v>
      </c>
      <c r="D791" s="4">
        <v>431151.98</v>
      </c>
      <c r="E791" s="4">
        <v>572050.56999999995</v>
      </c>
      <c r="F791" s="4">
        <v>843586.19</v>
      </c>
      <c r="G791" s="49">
        <v>530737.71</v>
      </c>
      <c r="H791" s="343">
        <v>0</v>
      </c>
      <c r="I791" s="335"/>
    </row>
    <row r="792" spans="1:9" x14ac:dyDescent="0.25">
      <c r="A792" s="340" t="s">
        <v>2</v>
      </c>
      <c r="B792" s="335"/>
      <c r="C792" s="1" t="s">
        <v>2</v>
      </c>
      <c r="D792" s="1" t="s">
        <v>2</v>
      </c>
      <c r="E792" s="1" t="s">
        <v>2</v>
      </c>
      <c r="F792" s="1" t="s">
        <v>2</v>
      </c>
      <c r="G792" s="1" t="s">
        <v>2</v>
      </c>
      <c r="H792" s="340" t="s">
        <v>2</v>
      </c>
      <c r="I792" s="335"/>
    </row>
    <row r="793" spans="1:9" x14ac:dyDescent="0.25">
      <c r="A793" s="341" t="s">
        <v>3366</v>
      </c>
      <c r="B793" s="335"/>
      <c r="C793" s="2" t="s">
        <v>3365</v>
      </c>
      <c r="D793" s="3">
        <v>72.599999999999994</v>
      </c>
      <c r="E793" s="3">
        <v>0</v>
      </c>
      <c r="F793" s="3">
        <v>0</v>
      </c>
      <c r="G793" s="3">
        <v>0</v>
      </c>
      <c r="H793" s="342">
        <v>0</v>
      </c>
      <c r="I793" s="335"/>
    </row>
    <row r="794" spans="1:9" x14ac:dyDescent="0.25">
      <c r="A794" s="340" t="s">
        <v>1221</v>
      </c>
      <c r="B794" s="335"/>
      <c r="C794" s="1" t="s">
        <v>2</v>
      </c>
    </row>
    <row r="795" spans="1:9" x14ac:dyDescent="0.25">
      <c r="A795" s="340" t="s">
        <v>1095</v>
      </c>
      <c r="B795" s="335"/>
      <c r="C795" s="1" t="s">
        <v>2</v>
      </c>
    </row>
    <row r="796" spans="1:9" x14ac:dyDescent="0.25">
      <c r="A796" s="341" t="s">
        <v>2848</v>
      </c>
      <c r="B796" s="335"/>
      <c r="C796" s="2" t="s">
        <v>2849</v>
      </c>
      <c r="D796" s="3">
        <v>0</v>
      </c>
      <c r="E796" s="3">
        <v>0</v>
      </c>
      <c r="F796" s="3">
        <v>0</v>
      </c>
      <c r="G796" s="3">
        <v>0</v>
      </c>
      <c r="H796" s="342">
        <v>0</v>
      </c>
      <c r="I796" s="335"/>
    </row>
    <row r="797" spans="1:9" x14ac:dyDescent="0.25">
      <c r="A797" s="341" t="s">
        <v>2850</v>
      </c>
      <c r="B797" s="335"/>
      <c r="C797" s="2" t="s">
        <v>2851</v>
      </c>
      <c r="D797" s="3">
        <v>0</v>
      </c>
      <c r="E797" s="3">
        <v>0</v>
      </c>
      <c r="F797" s="3">
        <v>0</v>
      </c>
      <c r="G797" s="3">
        <v>15000</v>
      </c>
      <c r="H797" s="342">
        <v>0</v>
      </c>
      <c r="I797" s="335"/>
    </row>
    <row r="798" spans="1:9" x14ac:dyDescent="0.25">
      <c r="A798" s="341" t="s">
        <v>2852</v>
      </c>
      <c r="B798" s="335"/>
      <c r="C798" s="2" t="s">
        <v>2853</v>
      </c>
      <c r="D798" s="3">
        <v>0</v>
      </c>
      <c r="E798" s="3">
        <v>0</v>
      </c>
      <c r="F798" s="3">
        <v>7831.12</v>
      </c>
      <c r="G798" s="3">
        <v>0</v>
      </c>
      <c r="H798" s="342">
        <v>0</v>
      </c>
      <c r="I798" s="335"/>
    </row>
    <row r="799" spans="1:9" x14ac:dyDescent="0.25">
      <c r="A799" s="341" t="s">
        <v>2854</v>
      </c>
      <c r="B799" s="335"/>
      <c r="C799" s="2" t="s">
        <v>2855</v>
      </c>
      <c r="D799" s="3">
        <v>0</v>
      </c>
      <c r="E799" s="3">
        <v>0</v>
      </c>
      <c r="F799" s="3">
        <v>7831.12</v>
      </c>
      <c r="G799" s="3">
        <v>0</v>
      </c>
      <c r="H799" s="342">
        <v>0</v>
      </c>
      <c r="I799" s="335"/>
    </row>
    <row r="800" spans="1:9" x14ac:dyDescent="0.25">
      <c r="A800" s="341" t="s">
        <v>2856</v>
      </c>
      <c r="B800" s="335"/>
      <c r="C800" s="2" t="s">
        <v>2857</v>
      </c>
      <c r="D800" s="3">
        <v>0</v>
      </c>
      <c r="E800" s="3">
        <v>0</v>
      </c>
      <c r="F800" s="3">
        <v>0</v>
      </c>
      <c r="G800" s="3">
        <v>89946.33</v>
      </c>
      <c r="H800" s="342">
        <v>0</v>
      </c>
      <c r="I800" s="335"/>
    </row>
    <row r="801" spans="1:9" x14ac:dyDescent="0.25">
      <c r="A801" s="340" t="s">
        <v>1116</v>
      </c>
      <c r="B801" s="335"/>
      <c r="C801" s="1" t="s">
        <v>2</v>
      </c>
      <c r="D801" s="4">
        <v>0</v>
      </c>
      <c r="E801" s="4">
        <v>0</v>
      </c>
      <c r="F801" s="4">
        <v>15662.24</v>
      </c>
      <c r="G801" s="49">
        <v>104946.33</v>
      </c>
      <c r="H801" s="343">
        <v>0</v>
      </c>
      <c r="I801" s="335"/>
    </row>
    <row r="802" spans="1:9" x14ac:dyDescent="0.25">
      <c r="A802" s="340" t="s">
        <v>2</v>
      </c>
      <c r="B802" s="335"/>
      <c r="C802" s="1" t="s">
        <v>2</v>
      </c>
      <c r="D802" s="1" t="s">
        <v>2</v>
      </c>
      <c r="E802" s="1" t="s">
        <v>2</v>
      </c>
      <c r="F802" s="1" t="s">
        <v>2</v>
      </c>
      <c r="G802" s="1" t="s">
        <v>2</v>
      </c>
      <c r="H802" s="340" t="s">
        <v>2</v>
      </c>
      <c r="I802" s="335"/>
    </row>
    <row r="803" spans="1:9" x14ac:dyDescent="0.25">
      <c r="A803" s="340" t="s">
        <v>1237</v>
      </c>
      <c r="B803" s="335"/>
      <c r="C803" s="1" t="s">
        <v>2</v>
      </c>
      <c r="D803" s="4">
        <v>0</v>
      </c>
      <c r="E803" s="4">
        <v>0</v>
      </c>
      <c r="F803" s="4">
        <v>15662.24</v>
      </c>
      <c r="G803" s="4">
        <v>104946.33</v>
      </c>
      <c r="H803" s="343">
        <v>0</v>
      </c>
      <c r="I803" s="335"/>
    </row>
    <row r="804" spans="1:9" x14ac:dyDescent="0.25">
      <c r="A804" s="340" t="s">
        <v>2</v>
      </c>
      <c r="B804" s="335"/>
      <c r="C804" s="1" t="s">
        <v>2</v>
      </c>
      <c r="D804" s="1" t="s">
        <v>2</v>
      </c>
      <c r="E804" s="1" t="s">
        <v>2</v>
      </c>
      <c r="F804" s="1" t="s">
        <v>2</v>
      </c>
      <c r="G804" s="1" t="s">
        <v>2</v>
      </c>
      <c r="H804" s="340" t="s">
        <v>2</v>
      </c>
      <c r="I804" s="335"/>
    </row>
    <row r="805" spans="1:9" x14ac:dyDescent="0.25">
      <c r="A805" s="341" t="s">
        <v>3364</v>
      </c>
      <c r="B805" s="335"/>
      <c r="C805" s="2" t="s">
        <v>3363</v>
      </c>
      <c r="D805" s="3">
        <v>0</v>
      </c>
      <c r="E805" s="3">
        <v>0</v>
      </c>
      <c r="F805" s="3">
        <v>0</v>
      </c>
      <c r="G805" s="3">
        <v>0</v>
      </c>
      <c r="H805" s="342">
        <v>0</v>
      </c>
      <c r="I805" s="335"/>
    </row>
    <row r="806" spans="1:9" x14ac:dyDescent="0.25">
      <c r="A806" s="341" t="s">
        <v>3362</v>
      </c>
      <c r="B806" s="335"/>
      <c r="C806" s="2" t="s">
        <v>2752</v>
      </c>
      <c r="D806" s="3">
        <v>0</v>
      </c>
      <c r="E806" s="3">
        <v>0</v>
      </c>
      <c r="F806" s="3">
        <v>0</v>
      </c>
      <c r="G806" s="3">
        <v>0</v>
      </c>
      <c r="H806" s="342">
        <v>0</v>
      </c>
      <c r="I806" s="335"/>
    </row>
    <row r="807" spans="1:9" x14ac:dyDescent="0.25">
      <c r="A807" s="341" t="s">
        <v>3361</v>
      </c>
      <c r="B807" s="335"/>
      <c r="C807" s="2" t="s">
        <v>2409</v>
      </c>
      <c r="D807" s="3">
        <v>3.29</v>
      </c>
      <c r="E807" s="3">
        <v>0</v>
      </c>
      <c r="F807" s="3">
        <v>0</v>
      </c>
      <c r="G807" s="3">
        <v>0</v>
      </c>
      <c r="H807" s="342">
        <v>0</v>
      </c>
      <c r="I807" s="335"/>
    </row>
    <row r="808" spans="1:9" ht="24" x14ac:dyDescent="0.25">
      <c r="A808" s="341" t="s">
        <v>3360</v>
      </c>
      <c r="B808" s="335"/>
      <c r="C808" s="2" t="s">
        <v>3359</v>
      </c>
      <c r="D808" s="3">
        <v>0</v>
      </c>
      <c r="E808" s="3">
        <v>0</v>
      </c>
      <c r="F808" s="3">
        <v>0</v>
      </c>
      <c r="G808" s="3">
        <v>0</v>
      </c>
      <c r="H808" s="342">
        <v>0</v>
      </c>
      <c r="I808" s="335"/>
    </row>
    <row r="809" spans="1:9" x14ac:dyDescent="0.25">
      <c r="A809" s="341" t="s">
        <v>3358</v>
      </c>
      <c r="B809" s="335"/>
      <c r="C809" s="2" t="s">
        <v>3357</v>
      </c>
      <c r="D809" s="3">
        <v>0</v>
      </c>
      <c r="E809" s="3">
        <v>0</v>
      </c>
      <c r="F809" s="3">
        <v>0</v>
      </c>
      <c r="G809" s="3">
        <v>0</v>
      </c>
      <c r="H809" s="342">
        <v>0</v>
      </c>
      <c r="I809" s="335"/>
    </row>
    <row r="810" spans="1:9" x14ac:dyDescent="0.25">
      <c r="A810" s="340" t="s">
        <v>1238</v>
      </c>
      <c r="B810" s="335"/>
      <c r="C810" s="1" t="s">
        <v>2</v>
      </c>
    </row>
    <row r="811" spans="1:9" ht="24" x14ac:dyDescent="0.25">
      <c r="A811" s="341" t="s">
        <v>2859</v>
      </c>
      <c r="B811" s="335"/>
      <c r="C811" s="2" t="s">
        <v>2608</v>
      </c>
      <c r="D811" s="3">
        <v>0</v>
      </c>
      <c r="E811" s="3">
        <v>252</v>
      </c>
      <c r="F811" s="3">
        <v>0</v>
      </c>
      <c r="G811" s="3">
        <v>0</v>
      </c>
      <c r="H811" s="342">
        <v>0</v>
      </c>
      <c r="I811" s="335"/>
    </row>
    <row r="812" spans="1:9" x14ac:dyDescent="0.25">
      <c r="A812" s="341" t="s">
        <v>2860</v>
      </c>
      <c r="B812" s="335"/>
      <c r="C812" s="2" t="s">
        <v>2861</v>
      </c>
      <c r="D812" s="3">
        <v>1492058.07</v>
      </c>
      <c r="E812" s="3">
        <v>0</v>
      </c>
      <c r="F812" s="3">
        <v>1673582.64</v>
      </c>
      <c r="G812" s="3">
        <v>3485478.84</v>
      </c>
      <c r="H812" s="342">
        <v>0</v>
      </c>
      <c r="I812" s="335"/>
    </row>
    <row r="813" spans="1:9" x14ac:dyDescent="0.25">
      <c r="A813" s="341" t="s">
        <v>2862</v>
      </c>
      <c r="B813" s="335"/>
      <c r="C813" s="2" t="s">
        <v>2752</v>
      </c>
      <c r="D813" s="3">
        <v>0</v>
      </c>
      <c r="E813" s="3">
        <v>0</v>
      </c>
      <c r="F813" s="3">
        <v>703178.3</v>
      </c>
      <c r="G813" s="3">
        <v>412125.81</v>
      </c>
      <c r="H813" s="342">
        <v>0</v>
      </c>
      <c r="I813" s="335"/>
    </row>
    <row r="814" spans="1:9" x14ac:dyDescent="0.25">
      <c r="A814" s="341" t="s">
        <v>2863</v>
      </c>
      <c r="B814" s="335"/>
      <c r="C814" s="2" t="s">
        <v>2173</v>
      </c>
      <c r="D814" s="3">
        <v>0</v>
      </c>
      <c r="E814" s="3">
        <v>0</v>
      </c>
      <c r="F814" s="3">
        <v>0</v>
      </c>
      <c r="G814" s="3">
        <v>0</v>
      </c>
      <c r="H814" s="342">
        <v>0</v>
      </c>
      <c r="I814" s="335"/>
    </row>
    <row r="815" spans="1:9" x14ac:dyDescent="0.25">
      <c r="A815" s="341" t="s">
        <v>2864</v>
      </c>
      <c r="B815" s="335"/>
      <c r="C815" s="2" t="s">
        <v>2865</v>
      </c>
      <c r="D815" s="3">
        <v>0</v>
      </c>
      <c r="E815" s="3">
        <v>4997340.6900000004</v>
      </c>
      <c r="F815" s="3">
        <v>0</v>
      </c>
      <c r="G815" s="3">
        <v>0</v>
      </c>
      <c r="H815" s="342">
        <v>0</v>
      </c>
      <c r="I815" s="335"/>
    </row>
    <row r="816" spans="1:9" x14ac:dyDescent="0.25">
      <c r="A816" s="341" t="s">
        <v>2866</v>
      </c>
      <c r="B816" s="335"/>
      <c r="C816" s="2" t="s">
        <v>2867</v>
      </c>
      <c r="D816" s="3">
        <v>0</v>
      </c>
      <c r="E816" s="3">
        <v>24451.61</v>
      </c>
      <c r="F816" s="3">
        <v>0</v>
      </c>
      <c r="G816" s="3">
        <v>0</v>
      </c>
      <c r="H816" s="342">
        <v>0</v>
      </c>
      <c r="I816" s="335"/>
    </row>
    <row r="817" spans="1:9" x14ac:dyDescent="0.25">
      <c r="A817" s="341" t="s">
        <v>2868</v>
      </c>
      <c r="B817" s="335"/>
      <c r="C817" s="2" t="s">
        <v>2409</v>
      </c>
      <c r="D817" s="3">
        <v>0</v>
      </c>
      <c r="E817" s="3">
        <v>0</v>
      </c>
      <c r="F817" s="3">
        <v>0</v>
      </c>
      <c r="G817" s="3">
        <v>0</v>
      </c>
      <c r="H817" s="342">
        <v>0</v>
      </c>
      <c r="I817" s="335"/>
    </row>
    <row r="818" spans="1:9" ht="24" x14ac:dyDescent="0.25">
      <c r="A818" s="341" t="s">
        <v>2869</v>
      </c>
      <c r="B818" s="335"/>
      <c r="C818" s="2" t="s">
        <v>2870</v>
      </c>
      <c r="D818" s="3">
        <v>0</v>
      </c>
      <c r="E818" s="3">
        <v>795000</v>
      </c>
      <c r="F818" s="3">
        <v>0</v>
      </c>
      <c r="G818" s="3">
        <v>0</v>
      </c>
      <c r="H818" s="342">
        <v>0</v>
      </c>
      <c r="I818" s="335"/>
    </row>
    <row r="819" spans="1:9" x14ac:dyDescent="0.25">
      <c r="A819" s="341" t="s">
        <v>2871</v>
      </c>
      <c r="B819" s="335"/>
      <c r="C819" s="2" t="s">
        <v>2872</v>
      </c>
      <c r="D819" s="3">
        <v>0</v>
      </c>
      <c r="E819" s="3">
        <v>0</v>
      </c>
      <c r="F819" s="3">
        <v>0</v>
      </c>
      <c r="G819" s="3">
        <v>0</v>
      </c>
      <c r="H819" s="342">
        <v>0</v>
      </c>
      <c r="I819" s="335"/>
    </row>
    <row r="820" spans="1:9" ht="24" x14ac:dyDescent="0.25">
      <c r="A820" s="341" t="s">
        <v>2873</v>
      </c>
      <c r="B820" s="335"/>
      <c r="C820" s="2" t="s">
        <v>2874</v>
      </c>
      <c r="D820" s="3">
        <v>475000</v>
      </c>
      <c r="E820" s="3">
        <v>0</v>
      </c>
      <c r="F820" s="3">
        <v>0</v>
      </c>
      <c r="G820" s="3">
        <v>0</v>
      </c>
      <c r="H820" s="342">
        <v>0</v>
      </c>
      <c r="I820" s="335"/>
    </row>
    <row r="821" spans="1:9" x14ac:dyDescent="0.25">
      <c r="A821" s="341" t="s">
        <v>2875</v>
      </c>
      <c r="B821" s="335"/>
      <c r="C821" s="2" t="s">
        <v>2876</v>
      </c>
      <c r="D821" s="3">
        <v>0</v>
      </c>
      <c r="E821" s="3">
        <v>0</v>
      </c>
      <c r="F821" s="3">
        <v>0</v>
      </c>
      <c r="G821" s="3">
        <v>0</v>
      </c>
      <c r="H821" s="342">
        <v>0</v>
      </c>
      <c r="I821" s="335"/>
    </row>
    <row r="822" spans="1:9" x14ac:dyDescent="0.25">
      <c r="A822" s="341" t="s">
        <v>2877</v>
      </c>
      <c r="B822" s="335"/>
      <c r="C822" s="2" t="s">
        <v>2878</v>
      </c>
      <c r="D822" s="3">
        <v>0</v>
      </c>
      <c r="E822" s="3">
        <v>0</v>
      </c>
      <c r="F822" s="3">
        <v>0</v>
      </c>
      <c r="G822" s="3">
        <v>0</v>
      </c>
      <c r="H822" s="342">
        <v>0</v>
      </c>
      <c r="I822" s="335"/>
    </row>
    <row r="823" spans="1:9" x14ac:dyDescent="0.25">
      <c r="A823" s="341" t="s">
        <v>2879</v>
      </c>
      <c r="B823" s="335"/>
      <c r="C823" s="2" t="s">
        <v>2880</v>
      </c>
      <c r="D823" s="3">
        <v>0</v>
      </c>
      <c r="E823" s="3">
        <v>47000</v>
      </c>
      <c r="F823" s="3">
        <v>0</v>
      </c>
      <c r="G823" s="3">
        <v>0</v>
      </c>
      <c r="H823" s="342">
        <v>0</v>
      </c>
      <c r="I823" s="335"/>
    </row>
    <row r="824" spans="1:9" x14ac:dyDescent="0.25">
      <c r="A824" s="341" t="s">
        <v>2881</v>
      </c>
      <c r="B824" s="335"/>
      <c r="C824" s="2" t="s">
        <v>2882</v>
      </c>
      <c r="D824" s="3">
        <v>0</v>
      </c>
      <c r="E824" s="3">
        <v>3031000</v>
      </c>
      <c r="F824" s="3">
        <v>250000</v>
      </c>
      <c r="G824" s="3">
        <v>0</v>
      </c>
      <c r="H824" s="342">
        <v>0</v>
      </c>
      <c r="I824" s="335"/>
    </row>
    <row r="825" spans="1:9" x14ac:dyDescent="0.25">
      <c r="A825" s="340" t="s">
        <v>1266</v>
      </c>
      <c r="B825" s="335"/>
      <c r="C825" s="1" t="s">
        <v>2</v>
      </c>
      <c r="D825" s="4">
        <v>1967058.07</v>
      </c>
      <c r="E825" s="4">
        <v>8895044.3000000007</v>
      </c>
      <c r="F825" s="4">
        <v>2626760.94</v>
      </c>
      <c r="G825" s="49">
        <v>3897604.65</v>
      </c>
      <c r="H825" s="343">
        <v>0</v>
      </c>
      <c r="I825" s="335"/>
    </row>
    <row r="826" spans="1:9" x14ac:dyDescent="0.25">
      <c r="A826" s="340" t="s">
        <v>2</v>
      </c>
      <c r="B826" s="335"/>
      <c r="C826" s="1" t="s">
        <v>2</v>
      </c>
      <c r="D826" s="1" t="s">
        <v>2</v>
      </c>
      <c r="E826" s="1" t="s">
        <v>2</v>
      </c>
      <c r="F826" s="1" t="s">
        <v>2</v>
      </c>
      <c r="G826" s="1" t="s">
        <v>2</v>
      </c>
      <c r="H826" s="340" t="s">
        <v>2</v>
      </c>
      <c r="I826" s="335"/>
    </row>
    <row r="827" spans="1:9" x14ac:dyDescent="0.25">
      <c r="A827" s="340" t="s">
        <v>1267</v>
      </c>
      <c r="B827" s="335"/>
      <c r="C827" s="1" t="s">
        <v>2</v>
      </c>
    </row>
    <row r="828" spans="1:9" x14ac:dyDescent="0.25">
      <c r="A828" s="341" t="s">
        <v>2885</v>
      </c>
      <c r="B828" s="335"/>
      <c r="C828" s="2" t="s">
        <v>2886</v>
      </c>
      <c r="D828" s="3">
        <v>8640</v>
      </c>
      <c r="E828" s="3">
        <v>8640</v>
      </c>
      <c r="F828" s="3">
        <v>6912</v>
      </c>
      <c r="G828" s="3">
        <v>6912</v>
      </c>
      <c r="H828" s="342">
        <v>0</v>
      </c>
      <c r="I828" s="335"/>
    </row>
    <row r="829" spans="1:9" ht="24" x14ac:dyDescent="0.25">
      <c r="A829" s="341" t="s">
        <v>2887</v>
      </c>
      <c r="B829" s="335"/>
      <c r="C829" s="2" t="s">
        <v>2608</v>
      </c>
      <c r="D829" s="3">
        <v>0</v>
      </c>
      <c r="E829" s="3">
        <v>22215.25</v>
      </c>
      <c r="F829" s="3">
        <v>0</v>
      </c>
      <c r="G829" s="3">
        <v>0</v>
      </c>
      <c r="H829" s="342">
        <v>0</v>
      </c>
      <c r="I829" s="335"/>
    </row>
    <row r="830" spans="1:9" ht="24" x14ac:dyDescent="0.25">
      <c r="A830" s="341" t="s">
        <v>2888</v>
      </c>
      <c r="B830" s="335"/>
      <c r="C830" s="2" t="s">
        <v>2889</v>
      </c>
      <c r="D830" s="3">
        <v>0</v>
      </c>
      <c r="E830" s="3">
        <v>0</v>
      </c>
      <c r="F830" s="3">
        <v>0</v>
      </c>
      <c r="G830" s="3">
        <v>0</v>
      </c>
      <c r="H830" s="342">
        <v>0</v>
      </c>
      <c r="I830" s="335"/>
    </row>
    <row r="831" spans="1:9" x14ac:dyDescent="0.25">
      <c r="A831" s="341" t="s">
        <v>2890</v>
      </c>
      <c r="B831" s="335"/>
      <c r="C831" s="2" t="s">
        <v>2123</v>
      </c>
      <c r="D831" s="3">
        <v>0</v>
      </c>
      <c r="E831" s="3">
        <v>0</v>
      </c>
      <c r="F831" s="3">
        <v>598.72</v>
      </c>
      <c r="G831" s="3">
        <v>0</v>
      </c>
      <c r="H831" s="342">
        <v>0</v>
      </c>
      <c r="I831" s="335"/>
    </row>
    <row r="832" spans="1:9" x14ac:dyDescent="0.25">
      <c r="A832" s="341" t="s">
        <v>2891</v>
      </c>
      <c r="B832" s="335"/>
      <c r="C832" s="2" t="s">
        <v>2892</v>
      </c>
      <c r="D832" s="3">
        <v>996233.02</v>
      </c>
      <c r="E832" s="3">
        <v>1265530.43</v>
      </c>
      <c r="F832" s="3">
        <v>1315160.0900000001</v>
      </c>
      <c r="G832" s="3">
        <v>663702.80000000005</v>
      </c>
      <c r="H832" s="342">
        <v>0</v>
      </c>
      <c r="I832" s="335"/>
    </row>
    <row r="833" spans="1:9" x14ac:dyDescent="0.25">
      <c r="A833" s="341" t="s">
        <v>2893</v>
      </c>
      <c r="B833" s="335"/>
      <c r="C833" s="2" t="s">
        <v>2894</v>
      </c>
      <c r="D833" s="3">
        <v>14376.8</v>
      </c>
      <c r="E833" s="3">
        <v>11112</v>
      </c>
      <c r="F833" s="3">
        <v>11451.2</v>
      </c>
      <c r="G833" s="3">
        <v>11240.8</v>
      </c>
      <c r="H833" s="342">
        <v>0</v>
      </c>
      <c r="I833" s="335"/>
    </row>
    <row r="834" spans="1:9" x14ac:dyDescent="0.25">
      <c r="A834" s="341" t="s">
        <v>2895</v>
      </c>
      <c r="B834" s="335"/>
      <c r="C834" s="2" t="s">
        <v>2896</v>
      </c>
      <c r="D834" s="3">
        <v>0</v>
      </c>
      <c r="E834" s="3">
        <v>0</v>
      </c>
      <c r="F834" s="3">
        <v>0</v>
      </c>
      <c r="G834" s="3">
        <v>0</v>
      </c>
      <c r="H834" s="342">
        <v>0</v>
      </c>
      <c r="I834" s="335"/>
    </row>
    <row r="835" spans="1:9" x14ac:dyDescent="0.25">
      <c r="A835" s="341" t="s">
        <v>2897</v>
      </c>
      <c r="B835" s="335"/>
      <c r="C835" s="2" t="s">
        <v>2898</v>
      </c>
      <c r="D835" s="3">
        <v>2321006.4900000002</v>
      </c>
      <c r="E835" s="3">
        <v>2866576.07</v>
      </c>
      <c r="F835" s="3">
        <v>3386313.24</v>
      </c>
      <c r="G835" s="3">
        <v>3017387.29</v>
      </c>
      <c r="H835" s="342">
        <v>0</v>
      </c>
      <c r="I835" s="335"/>
    </row>
    <row r="836" spans="1:9" x14ac:dyDescent="0.25">
      <c r="A836" s="341" t="s">
        <v>2899</v>
      </c>
      <c r="B836" s="335"/>
      <c r="C836" s="2" t="s">
        <v>2900</v>
      </c>
      <c r="D836" s="3">
        <v>53840.01</v>
      </c>
      <c r="E836" s="3">
        <v>76581.42</v>
      </c>
      <c r="F836" s="3">
        <v>83214.42</v>
      </c>
      <c r="G836" s="3">
        <v>69042.039999999994</v>
      </c>
      <c r="H836" s="342">
        <v>0</v>
      </c>
      <c r="I836" s="335"/>
    </row>
    <row r="837" spans="1:9" x14ac:dyDescent="0.25">
      <c r="A837" s="341" t="s">
        <v>2901</v>
      </c>
      <c r="B837" s="335"/>
      <c r="C837" s="2" t="s">
        <v>2902</v>
      </c>
      <c r="D837" s="3">
        <v>4514.08</v>
      </c>
      <c r="E837" s="3">
        <v>0</v>
      </c>
      <c r="F837" s="3">
        <v>0</v>
      </c>
      <c r="G837" s="3">
        <v>0</v>
      </c>
      <c r="H837" s="342">
        <v>0</v>
      </c>
      <c r="I837" s="335"/>
    </row>
    <row r="838" spans="1:9" x14ac:dyDescent="0.25">
      <c r="A838" s="341" t="s">
        <v>2903</v>
      </c>
      <c r="B838" s="335"/>
      <c r="C838" s="2" t="s">
        <v>2904</v>
      </c>
      <c r="D838" s="3">
        <v>-9346.86</v>
      </c>
      <c r="E838" s="3">
        <v>0</v>
      </c>
      <c r="F838" s="3">
        <v>0</v>
      </c>
      <c r="G838" s="3">
        <v>0</v>
      </c>
      <c r="H838" s="342">
        <v>0</v>
      </c>
      <c r="I838" s="335"/>
    </row>
    <row r="839" spans="1:9" x14ac:dyDescent="0.25">
      <c r="A839" s="341" t="s">
        <v>2905</v>
      </c>
      <c r="B839" s="335"/>
      <c r="C839" s="2" t="s">
        <v>2906</v>
      </c>
      <c r="D839" s="3">
        <v>2176</v>
      </c>
      <c r="E839" s="3">
        <v>2046.4</v>
      </c>
      <c r="F839" s="3">
        <v>8925.25</v>
      </c>
      <c r="G839" s="3">
        <v>2546.8200000000002</v>
      </c>
      <c r="H839" s="342">
        <v>0</v>
      </c>
      <c r="I839" s="335"/>
    </row>
    <row r="840" spans="1:9" x14ac:dyDescent="0.25">
      <c r="A840" s="341" t="s">
        <v>2907</v>
      </c>
      <c r="B840" s="335"/>
      <c r="C840" s="2" t="s">
        <v>2908</v>
      </c>
      <c r="D840" s="3">
        <v>0</v>
      </c>
      <c r="E840" s="3">
        <v>0</v>
      </c>
      <c r="F840" s="3">
        <v>0</v>
      </c>
      <c r="G840" s="3">
        <v>3006</v>
      </c>
      <c r="H840" s="342">
        <v>0</v>
      </c>
      <c r="I840" s="335"/>
    </row>
    <row r="841" spans="1:9" x14ac:dyDescent="0.25">
      <c r="A841" s="341" t="s">
        <v>2909</v>
      </c>
      <c r="B841" s="335"/>
      <c r="C841" s="2" t="s">
        <v>2910</v>
      </c>
      <c r="D841" s="3">
        <v>31630.87</v>
      </c>
      <c r="E841" s="3">
        <v>7966.13</v>
      </c>
      <c r="F841" s="3">
        <v>300</v>
      </c>
      <c r="G841" s="3">
        <v>3982.07</v>
      </c>
      <c r="H841" s="342">
        <v>0</v>
      </c>
      <c r="I841" s="335"/>
    </row>
    <row r="842" spans="1:9" x14ac:dyDescent="0.25">
      <c r="A842" s="341" t="s">
        <v>2911</v>
      </c>
      <c r="B842" s="335"/>
      <c r="C842" s="2" t="s">
        <v>2912</v>
      </c>
      <c r="D842" s="3">
        <v>34943.11</v>
      </c>
      <c r="E842" s="3">
        <v>46701.64</v>
      </c>
      <c r="F842" s="3">
        <v>68088.639999999999</v>
      </c>
      <c r="G842" s="3">
        <v>26016.42</v>
      </c>
      <c r="H842" s="342">
        <v>0</v>
      </c>
      <c r="I842" s="335"/>
    </row>
    <row r="843" spans="1:9" x14ac:dyDescent="0.25">
      <c r="A843" s="341" t="s">
        <v>2913</v>
      </c>
      <c r="B843" s="335"/>
      <c r="C843" s="2" t="s">
        <v>2914</v>
      </c>
      <c r="D843" s="3">
        <v>8550</v>
      </c>
      <c r="E843" s="3">
        <v>4750</v>
      </c>
      <c r="F843" s="3">
        <v>4790</v>
      </c>
      <c r="G843" s="3">
        <v>4750</v>
      </c>
      <c r="H843" s="342">
        <v>0</v>
      </c>
      <c r="I843" s="335"/>
    </row>
    <row r="844" spans="1:9" x14ac:dyDescent="0.25">
      <c r="A844" s="341" t="s">
        <v>2915</v>
      </c>
      <c r="B844" s="335"/>
      <c r="C844" s="2" t="s">
        <v>2916</v>
      </c>
      <c r="D844" s="3">
        <v>6280</v>
      </c>
      <c r="E844" s="3">
        <v>8160</v>
      </c>
      <c r="F844" s="3">
        <v>8600</v>
      </c>
      <c r="G844" s="3">
        <v>4280</v>
      </c>
      <c r="H844" s="342">
        <v>0</v>
      </c>
      <c r="I844" s="335"/>
    </row>
    <row r="845" spans="1:9" x14ac:dyDescent="0.25">
      <c r="A845" s="341" t="s">
        <v>2917</v>
      </c>
      <c r="B845" s="335"/>
      <c r="C845" s="2" t="s">
        <v>2918</v>
      </c>
      <c r="D845" s="3">
        <v>15500</v>
      </c>
      <c r="E845" s="3">
        <v>20400</v>
      </c>
      <c r="F845" s="3">
        <v>20900</v>
      </c>
      <c r="G845" s="3">
        <v>10800</v>
      </c>
      <c r="H845" s="342">
        <v>0</v>
      </c>
      <c r="I845" s="335"/>
    </row>
    <row r="846" spans="1:9" x14ac:dyDescent="0.25">
      <c r="A846" s="341" t="s">
        <v>2919</v>
      </c>
      <c r="B846" s="335"/>
      <c r="C846" s="2" t="s">
        <v>2920</v>
      </c>
      <c r="D846" s="3">
        <v>13966.53</v>
      </c>
      <c r="E846" s="3">
        <v>21246.92</v>
      </c>
      <c r="F846" s="3">
        <v>22017.8</v>
      </c>
      <c r="G846" s="3">
        <v>13742.2</v>
      </c>
      <c r="H846" s="342">
        <v>0</v>
      </c>
      <c r="I846" s="335"/>
    </row>
    <row r="847" spans="1:9" x14ac:dyDescent="0.25">
      <c r="A847" s="341" t="s">
        <v>2921</v>
      </c>
      <c r="B847" s="335"/>
      <c r="C847" s="2" t="s">
        <v>2922</v>
      </c>
      <c r="D847" s="3">
        <v>400</v>
      </c>
      <c r="E847" s="3">
        <v>200</v>
      </c>
      <c r="F847" s="3">
        <v>160</v>
      </c>
      <c r="G847" s="3">
        <v>200</v>
      </c>
      <c r="H847" s="342">
        <v>0</v>
      </c>
      <c r="I847" s="335"/>
    </row>
    <row r="848" spans="1:9" x14ac:dyDescent="0.25">
      <c r="A848" s="341" t="s">
        <v>2923</v>
      </c>
      <c r="B848" s="335"/>
      <c r="C848" s="2" t="s">
        <v>2924</v>
      </c>
      <c r="D848" s="3">
        <v>0</v>
      </c>
      <c r="E848" s="3">
        <v>0</v>
      </c>
      <c r="F848" s="3">
        <v>0</v>
      </c>
      <c r="G848" s="3">
        <v>0</v>
      </c>
      <c r="H848" s="342">
        <v>0</v>
      </c>
      <c r="I848" s="335"/>
    </row>
    <row r="849" spans="1:9" x14ac:dyDescent="0.25">
      <c r="A849" s="341" t="s">
        <v>2925</v>
      </c>
      <c r="B849" s="335"/>
      <c r="C849" s="2" t="s">
        <v>2926</v>
      </c>
      <c r="D849" s="3">
        <v>0</v>
      </c>
      <c r="E849" s="3">
        <v>0</v>
      </c>
      <c r="F849" s="3">
        <v>0</v>
      </c>
      <c r="G849" s="3">
        <v>0</v>
      </c>
      <c r="H849" s="342">
        <v>0</v>
      </c>
      <c r="I849" s="335"/>
    </row>
    <row r="850" spans="1:9" x14ac:dyDescent="0.25">
      <c r="A850" s="341" t="s">
        <v>2927</v>
      </c>
      <c r="B850" s="335"/>
      <c r="C850" s="2" t="s">
        <v>64</v>
      </c>
      <c r="D850" s="3">
        <v>962.29</v>
      </c>
      <c r="E850" s="3">
        <v>0</v>
      </c>
      <c r="F850" s="3">
        <v>236.69</v>
      </c>
      <c r="G850" s="3">
        <v>0</v>
      </c>
      <c r="H850" s="342">
        <v>0</v>
      </c>
      <c r="I850" s="335"/>
    </row>
    <row r="851" spans="1:9" x14ac:dyDescent="0.25">
      <c r="A851" s="341" t="s">
        <v>2928</v>
      </c>
      <c r="B851" s="335"/>
      <c r="C851" s="2" t="s">
        <v>2584</v>
      </c>
      <c r="D851" s="3">
        <v>28331.38</v>
      </c>
      <c r="E851" s="3">
        <v>5988.41</v>
      </c>
      <c r="F851" s="3">
        <v>3636.94</v>
      </c>
      <c r="G851" s="3">
        <v>13560.62</v>
      </c>
      <c r="H851" s="342">
        <v>0</v>
      </c>
      <c r="I851" s="335"/>
    </row>
    <row r="852" spans="1:9" x14ac:dyDescent="0.25">
      <c r="A852" s="341" t="s">
        <v>2929</v>
      </c>
      <c r="B852" s="335"/>
      <c r="C852" s="2" t="s">
        <v>2930</v>
      </c>
      <c r="D852" s="3">
        <v>0</v>
      </c>
      <c r="E852" s="3">
        <v>0</v>
      </c>
      <c r="F852" s="3">
        <v>594</v>
      </c>
      <c r="G852" s="3">
        <v>801.09</v>
      </c>
      <c r="H852" s="342">
        <v>0</v>
      </c>
      <c r="I852" s="335"/>
    </row>
    <row r="853" spans="1:9" x14ac:dyDescent="0.25">
      <c r="A853" s="341" t="s">
        <v>2931</v>
      </c>
      <c r="B853" s="335"/>
      <c r="C853" s="2" t="s">
        <v>2932</v>
      </c>
      <c r="D853" s="3">
        <v>0</v>
      </c>
      <c r="E853" s="3">
        <v>0</v>
      </c>
      <c r="F853" s="3">
        <v>0</v>
      </c>
      <c r="G853" s="3">
        <v>0</v>
      </c>
      <c r="H853" s="342">
        <v>0</v>
      </c>
      <c r="I853" s="335"/>
    </row>
    <row r="854" spans="1:9" x14ac:dyDescent="0.25">
      <c r="A854" s="341" t="s">
        <v>2933</v>
      </c>
      <c r="B854" s="335"/>
      <c r="C854" s="2" t="s">
        <v>2934</v>
      </c>
      <c r="D854" s="3">
        <v>0</v>
      </c>
      <c r="E854" s="3">
        <v>0</v>
      </c>
      <c r="F854" s="3">
        <v>0</v>
      </c>
      <c r="G854" s="3">
        <v>10530.92</v>
      </c>
      <c r="H854" s="342">
        <v>0</v>
      </c>
      <c r="I854" s="335"/>
    </row>
    <row r="855" spans="1:9" x14ac:dyDescent="0.25">
      <c r="A855" s="341" t="s">
        <v>2935</v>
      </c>
      <c r="B855" s="335"/>
      <c r="C855" s="2" t="s">
        <v>2409</v>
      </c>
      <c r="D855" s="3">
        <v>26724.71</v>
      </c>
      <c r="E855" s="3">
        <v>8225.25</v>
      </c>
      <c r="F855" s="3">
        <v>2036.3</v>
      </c>
      <c r="G855" s="3">
        <v>7429.48</v>
      </c>
      <c r="H855" s="342">
        <v>0</v>
      </c>
      <c r="I855" s="335"/>
    </row>
    <row r="856" spans="1:9" x14ac:dyDescent="0.25">
      <c r="A856" s="341" t="s">
        <v>2936</v>
      </c>
      <c r="B856" s="335"/>
      <c r="C856" s="2" t="s">
        <v>2703</v>
      </c>
      <c r="D856" s="3">
        <v>0</v>
      </c>
      <c r="E856" s="3">
        <v>0</v>
      </c>
      <c r="F856" s="3">
        <v>0</v>
      </c>
      <c r="G856" s="3">
        <v>0</v>
      </c>
      <c r="H856" s="342">
        <v>0</v>
      </c>
      <c r="I856" s="335"/>
    </row>
    <row r="857" spans="1:9" x14ac:dyDescent="0.25">
      <c r="A857" s="341" t="s">
        <v>2937</v>
      </c>
      <c r="B857" s="335"/>
      <c r="C857" s="2" t="s">
        <v>2938</v>
      </c>
      <c r="D857" s="3">
        <v>15.25</v>
      </c>
      <c r="E857" s="3">
        <v>7.79</v>
      </c>
      <c r="F857" s="3">
        <v>3.24</v>
      </c>
      <c r="G857" s="3">
        <v>3.56</v>
      </c>
      <c r="H857" s="342">
        <v>0</v>
      </c>
      <c r="I857" s="335"/>
    </row>
    <row r="858" spans="1:9" x14ac:dyDescent="0.25">
      <c r="A858" s="341" t="s">
        <v>2939</v>
      </c>
      <c r="B858" s="335"/>
      <c r="C858" s="2" t="s">
        <v>2940</v>
      </c>
      <c r="D858" s="3">
        <v>0</v>
      </c>
      <c r="E858" s="3">
        <v>0</v>
      </c>
      <c r="F858" s="3">
        <v>840.15</v>
      </c>
      <c r="G858" s="3">
        <v>1623.5</v>
      </c>
      <c r="H858" s="342">
        <v>0</v>
      </c>
      <c r="I858" s="335"/>
    </row>
    <row r="859" spans="1:9" x14ac:dyDescent="0.25">
      <c r="A859" s="341" t="s">
        <v>2941</v>
      </c>
      <c r="B859" s="335"/>
      <c r="C859" s="2" t="s">
        <v>2942</v>
      </c>
      <c r="D859" s="3">
        <v>0</v>
      </c>
      <c r="E859" s="3">
        <v>98.64</v>
      </c>
      <c r="F859" s="3">
        <v>0</v>
      </c>
      <c r="G859" s="3">
        <v>0</v>
      </c>
      <c r="H859" s="342">
        <v>0</v>
      </c>
      <c r="I859" s="335"/>
    </row>
    <row r="860" spans="1:9" x14ac:dyDescent="0.25">
      <c r="A860" s="341" t="s">
        <v>2943</v>
      </c>
      <c r="B860" s="335"/>
      <c r="C860" s="2" t="s">
        <v>2944</v>
      </c>
      <c r="D860" s="3">
        <v>0</v>
      </c>
      <c r="E860" s="3">
        <v>0</v>
      </c>
      <c r="F860" s="3">
        <v>0</v>
      </c>
      <c r="G860" s="3">
        <v>0</v>
      </c>
      <c r="H860" s="342">
        <v>0</v>
      </c>
      <c r="I860" s="335"/>
    </row>
    <row r="861" spans="1:9" x14ac:dyDescent="0.25">
      <c r="A861" s="341" t="s">
        <v>2946</v>
      </c>
      <c r="B861" s="335"/>
      <c r="C861" s="2" t="s">
        <v>2947</v>
      </c>
      <c r="D861" s="3">
        <v>0</v>
      </c>
      <c r="E861" s="3">
        <v>0</v>
      </c>
      <c r="F861" s="3">
        <v>0</v>
      </c>
      <c r="G861" s="3">
        <v>0</v>
      </c>
      <c r="H861" s="342">
        <v>0</v>
      </c>
      <c r="I861" s="335"/>
    </row>
    <row r="862" spans="1:9" x14ac:dyDescent="0.25">
      <c r="A862" s="341" t="s">
        <v>2949</v>
      </c>
      <c r="B862" s="335"/>
      <c r="C862" s="2" t="s">
        <v>2539</v>
      </c>
      <c r="D862" s="3">
        <v>0</v>
      </c>
      <c r="E862" s="3">
        <v>0</v>
      </c>
      <c r="F862" s="3">
        <v>0</v>
      </c>
      <c r="G862" s="3">
        <v>0</v>
      </c>
      <c r="H862" s="342">
        <v>0</v>
      </c>
      <c r="I862" s="335"/>
    </row>
    <row r="863" spans="1:9" ht="24" x14ac:dyDescent="0.25">
      <c r="A863" s="341" t="s">
        <v>3356</v>
      </c>
      <c r="B863" s="335"/>
      <c r="C863" s="2" t="s">
        <v>3355</v>
      </c>
      <c r="D863" s="3">
        <v>0</v>
      </c>
      <c r="E863" s="3">
        <v>0</v>
      </c>
      <c r="F863" s="3">
        <v>0</v>
      </c>
      <c r="G863" s="3">
        <v>0</v>
      </c>
      <c r="H863" s="342">
        <v>0</v>
      </c>
      <c r="I863" s="335"/>
    </row>
    <row r="864" spans="1:9" x14ac:dyDescent="0.25">
      <c r="A864" s="341" t="s">
        <v>3354</v>
      </c>
      <c r="B864" s="335"/>
      <c r="C864" s="2" t="s">
        <v>3353</v>
      </c>
      <c r="D864" s="3">
        <v>0</v>
      </c>
      <c r="E864" s="3">
        <v>0</v>
      </c>
      <c r="F864" s="3">
        <v>0</v>
      </c>
      <c r="G864" s="3">
        <v>0</v>
      </c>
      <c r="H864" s="342">
        <v>0</v>
      </c>
      <c r="I864" s="335"/>
    </row>
    <row r="865" spans="1:9" ht="24" x14ac:dyDescent="0.25">
      <c r="A865" s="341" t="s">
        <v>3352</v>
      </c>
      <c r="B865" s="335"/>
      <c r="C865" s="2" t="s">
        <v>3351</v>
      </c>
      <c r="D865" s="3">
        <v>0</v>
      </c>
      <c r="E865" s="3">
        <v>0</v>
      </c>
      <c r="F865" s="3">
        <v>0</v>
      </c>
      <c r="G865" s="3">
        <v>0</v>
      </c>
      <c r="H865" s="342">
        <v>0</v>
      </c>
      <c r="I865" s="335"/>
    </row>
    <row r="866" spans="1:9" x14ac:dyDescent="0.25">
      <c r="A866" s="341" t="s">
        <v>3350</v>
      </c>
      <c r="B866" s="335"/>
      <c r="C866" s="2" t="s">
        <v>3342</v>
      </c>
      <c r="D866" s="3">
        <v>31114.23</v>
      </c>
      <c r="E866" s="3">
        <v>0</v>
      </c>
      <c r="F866" s="3">
        <v>0</v>
      </c>
      <c r="G866" s="3">
        <v>0</v>
      </c>
      <c r="H866" s="342">
        <v>0</v>
      </c>
      <c r="I866" s="335"/>
    </row>
    <row r="867" spans="1:9" ht="24" x14ac:dyDescent="0.25">
      <c r="A867" s="341" t="s">
        <v>2952</v>
      </c>
      <c r="B867" s="335"/>
      <c r="C867" s="2" t="s">
        <v>2953</v>
      </c>
      <c r="D867" s="3">
        <v>0</v>
      </c>
      <c r="E867" s="3">
        <v>401500</v>
      </c>
      <c r="F867" s="3">
        <v>0</v>
      </c>
      <c r="G867" s="3">
        <v>0</v>
      </c>
      <c r="H867" s="342">
        <v>0</v>
      </c>
      <c r="I867" s="335"/>
    </row>
    <row r="868" spans="1:9" x14ac:dyDescent="0.25">
      <c r="A868" s="341" t="s">
        <v>2954</v>
      </c>
      <c r="B868" s="335"/>
      <c r="C868" s="2" t="s">
        <v>2955</v>
      </c>
      <c r="D868" s="3">
        <v>0</v>
      </c>
      <c r="E868" s="3">
        <v>0</v>
      </c>
      <c r="F868" s="3">
        <v>0</v>
      </c>
      <c r="G868" s="3">
        <v>0</v>
      </c>
      <c r="H868" s="342">
        <v>0</v>
      </c>
      <c r="I868" s="335"/>
    </row>
    <row r="869" spans="1:9" x14ac:dyDescent="0.25">
      <c r="A869" s="341" t="s">
        <v>2956</v>
      </c>
      <c r="B869" s="335"/>
      <c r="C869" s="2" t="s">
        <v>2957</v>
      </c>
      <c r="D869" s="3">
        <v>0</v>
      </c>
      <c r="E869" s="3">
        <v>0</v>
      </c>
      <c r="F869" s="3">
        <v>0</v>
      </c>
      <c r="G869" s="3">
        <v>0</v>
      </c>
      <c r="H869" s="342">
        <v>0</v>
      </c>
      <c r="I869" s="335"/>
    </row>
    <row r="870" spans="1:9" x14ac:dyDescent="0.25">
      <c r="A870" s="341" t="s">
        <v>2958</v>
      </c>
      <c r="B870" s="335"/>
      <c r="C870" s="2" t="s">
        <v>2959</v>
      </c>
      <c r="D870" s="3">
        <v>0</v>
      </c>
      <c r="E870" s="3">
        <v>0</v>
      </c>
      <c r="F870" s="3">
        <v>0</v>
      </c>
      <c r="G870" s="3">
        <v>0</v>
      </c>
      <c r="H870" s="342">
        <v>0</v>
      </c>
      <c r="I870" s="335"/>
    </row>
    <row r="871" spans="1:9" x14ac:dyDescent="0.25">
      <c r="A871" s="341" t="s">
        <v>2960</v>
      </c>
      <c r="B871" s="335"/>
      <c r="C871" s="2" t="s">
        <v>2961</v>
      </c>
      <c r="D871" s="3">
        <v>0</v>
      </c>
      <c r="E871" s="3">
        <v>0</v>
      </c>
      <c r="F871" s="3">
        <v>0</v>
      </c>
      <c r="G871" s="3">
        <v>0</v>
      </c>
      <c r="H871" s="342">
        <v>0</v>
      </c>
      <c r="I871" s="335"/>
    </row>
    <row r="872" spans="1:9" x14ac:dyDescent="0.25">
      <c r="A872" s="341" t="s">
        <v>2962</v>
      </c>
      <c r="B872" s="335"/>
      <c r="C872" s="2" t="s">
        <v>2963</v>
      </c>
      <c r="D872" s="3">
        <v>175000</v>
      </c>
      <c r="E872" s="3">
        <v>0</v>
      </c>
      <c r="F872" s="3">
        <v>270</v>
      </c>
      <c r="G872" s="3">
        <v>0</v>
      </c>
      <c r="H872" s="342">
        <v>0</v>
      </c>
      <c r="I872" s="335"/>
    </row>
    <row r="873" spans="1:9" x14ac:dyDescent="0.25">
      <c r="A873" s="341" t="s">
        <v>2964</v>
      </c>
      <c r="B873" s="335"/>
      <c r="C873" s="2" t="s">
        <v>2965</v>
      </c>
      <c r="D873" s="3">
        <v>0</v>
      </c>
      <c r="E873" s="3">
        <v>0</v>
      </c>
      <c r="F873" s="3">
        <v>0</v>
      </c>
      <c r="G873" s="3">
        <v>0</v>
      </c>
      <c r="H873" s="342">
        <v>0</v>
      </c>
      <c r="I873" s="335"/>
    </row>
    <row r="874" spans="1:9" x14ac:dyDescent="0.25">
      <c r="A874" s="341" t="s">
        <v>2966</v>
      </c>
      <c r="B874" s="335"/>
      <c r="C874" s="2" t="s">
        <v>64</v>
      </c>
      <c r="D874" s="3">
        <v>0</v>
      </c>
      <c r="E874" s="3">
        <v>5000</v>
      </c>
      <c r="F874" s="3">
        <v>0</v>
      </c>
      <c r="G874" s="3">
        <v>0</v>
      </c>
      <c r="H874" s="342">
        <v>0</v>
      </c>
      <c r="I874" s="335"/>
    </row>
    <row r="875" spans="1:9" x14ac:dyDescent="0.25">
      <c r="A875" s="340" t="s">
        <v>1466</v>
      </c>
      <c r="B875" s="335"/>
      <c r="C875" s="1" t="s">
        <v>2</v>
      </c>
      <c r="D875" s="4">
        <v>3764857.91</v>
      </c>
      <c r="E875" s="4">
        <v>4782946.3499999996</v>
      </c>
      <c r="F875" s="4">
        <v>4945048.68</v>
      </c>
      <c r="G875" s="49">
        <v>3871557.61</v>
      </c>
      <c r="H875" s="343">
        <v>0</v>
      </c>
      <c r="I875" s="335"/>
    </row>
    <row r="876" spans="1:9" x14ac:dyDescent="0.25">
      <c r="A876" s="340" t="s">
        <v>2</v>
      </c>
      <c r="B876" s="335"/>
      <c r="C876" s="1" t="s">
        <v>2</v>
      </c>
      <c r="D876" s="1" t="s">
        <v>2</v>
      </c>
      <c r="E876" s="1" t="s">
        <v>2</v>
      </c>
      <c r="F876" s="1" t="s">
        <v>2</v>
      </c>
      <c r="G876" s="1" t="s">
        <v>2</v>
      </c>
      <c r="H876" s="340" t="s">
        <v>2</v>
      </c>
      <c r="I876" s="335"/>
    </row>
    <row r="877" spans="1:9" x14ac:dyDescent="0.25">
      <c r="A877" s="340" t="s">
        <v>1467</v>
      </c>
      <c r="B877" s="335"/>
      <c r="C877" s="1" t="s">
        <v>2</v>
      </c>
    </row>
    <row r="878" spans="1:9" ht="24" x14ac:dyDescent="0.25">
      <c r="A878" s="341" t="s">
        <v>2969</v>
      </c>
      <c r="B878" s="335"/>
      <c r="C878" s="2" t="s">
        <v>2608</v>
      </c>
      <c r="D878" s="3">
        <v>0</v>
      </c>
      <c r="E878" s="3">
        <v>16623.16</v>
      </c>
      <c r="F878" s="3">
        <v>0</v>
      </c>
      <c r="G878" s="3">
        <v>0</v>
      </c>
      <c r="H878" s="342">
        <v>0</v>
      </c>
      <c r="I878" s="335"/>
    </row>
    <row r="879" spans="1:9" ht="24" x14ac:dyDescent="0.25">
      <c r="A879" s="341" t="s">
        <v>2970</v>
      </c>
      <c r="B879" s="335"/>
      <c r="C879" s="2" t="s">
        <v>2971</v>
      </c>
      <c r="D879" s="3">
        <v>0</v>
      </c>
      <c r="E879" s="3">
        <v>0</v>
      </c>
      <c r="F879" s="3">
        <v>0</v>
      </c>
      <c r="G879" s="3">
        <v>0</v>
      </c>
      <c r="H879" s="342">
        <v>0</v>
      </c>
      <c r="I879" s="335"/>
    </row>
    <row r="880" spans="1:9" x14ac:dyDescent="0.25">
      <c r="A880" s="341" t="s">
        <v>2972</v>
      </c>
      <c r="B880" s="335"/>
      <c r="C880" s="2" t="s">
        <v>2123</v>
      </c>
      <c r="D880" s="3">
        <v>0</v>
      </c>
      <c r="E880" s="3">
        <v>0</v>
      </c>
      <c r="F880" s="3">
        <v>1059.31</v>
      </c>
      <c r="G880" s="3">
        <v>0</v>
      </c>
      <c r="H880" s="342">
        <v>0</v>
      </c>
      <c r="I880" s="335"/>
    </row>
    <row r="881" spans="1:9" ht="24" x14ac:dyDescent="0.25">
      <c r="A881" s="341" t="s">
        <v>2973</v>
      </c>
      <c r="B881" s="335"/>
      <c r="C881" s="2" t="s">
        <v>2974</v>
      </c>
      <c r="D881" s="3">
        <v>0</v>
      </c>
      <c r="E881" s="3">
        <v>0</v>
      </c>
      <c r="F881" s="3">
        <v>0</v>
      </c>
      <c r="G881" s="3">
        <v>0</v>
      </c>
      <c r="H881" s="342">
        <v>0</v>
      </c>
      <c r="I881" s="335"/>
    </row>
    <row r="882" spans="1:9" x14ac:dyDescent="0.25">
      <c r="A882" s="341" t="s">
        <v>2975</v>
      </c>
      <c r="B882" s="335"/>
      <c r="C882" s="2" t="s">
        <v>2976</v>
      </c>
      <c r="D882" s="3">
        <v>1591342.59</v>
      </c>
      <c r="E882" s="3">
        <v>2112546.84</v>
      </c>
      <c r="F882" s="3">
        <v>2252174.08</v>
      </c>
      <c r="G882" s="3">
        <v>1136382.96</v>
      </c>
      <c r="H882" s="342">
        <v>0</v>
      </c>
      <c r="I882" s="335"/>
    </row>
    <row r="883" spans="1:9" x14ac:dyDescent="0.25">
      <c r="A883" s="341" t="s">
        <v>2977</v>
      </c>
      <c r="B883" s="335"/>
      <c r="C883" s="2" t="s">
        <v>2894</v>
      </c>
      <c r="D883" s="3">
        <v>20593.48</v>
      </c>
      <c r="E883" s="3">
        <v>15860.68</v>
      </c>
      <c r="F883" s="3">
        <v>15992.92</v>
      </c>
      <c r="G883" s="3">
        <v>16078.76</v>
      </c>
      <c r="H883" s="342">
        <v>0</v>
      </c>
      <c r="I883" s="335"/>
    </row>
    <row r="884" spans="1:9" x14ac:dyDescent="0.25">
      <c r="A884" s="341" t="s">
        <v>2978</v>
      </c>
      <c r="B884" s="335"/>
      <c r="C884" s="2" t="s">
        <v>2896</v>
      </c>
      <c r="D884" s="3">
        <v>0</v>
      </c>
      <c r="E884" s="3">
        <v>0</v>
      </c>
      <c r="F884" s="3">
        <v>0</v>
      </c>
      <c r="G884" s="3">
        <v>0</v>
      </c>
      <c r="H884" s="342">
        <v>0</v>
      </c>
      <c r="I884" s="335"/>
    </row>
    <row r="885" spans="1:9" x14ac:dyDescent="0.25">
      <c r="A885" s="341" t="s">
        <v>2979</v>
      </c>
      <c r="B885" s="335"/>
      <c r="C885" s="2" t="s">
        <v>2898</v>
      </c>
      <c r="D885" s="3">
        <v>3644929.97</v>
      </c>
      <c r="E885" s="3">
        <v>3932521.55</v>
      </c>
      <c r="F885" s="3">
        <v>4731599.3899999997</v>
      </c>
      <c r="G885" s="3">
        <v>4488645.4800000004</v>
      </c>
      <c r="H885" s="342">
        <v>0</v>
      </c>
      <c r="I885" s="335"/>
    </row>
    <row r="886" spans="1:9" x14ac:dyDescent="0.25">
      <c r="A886" s="341" t="s">
        <v>2980</v>
      </c>
      <c r="B886" s="335"/>
      <c r="C886" s="2" t="s">
        <v>2981</v>
      </c>
      <c r="D886" s="3">
        <v>770.81</v>
      </c>
      <c r="E886" s="3">
        <v>1847.5</v>
      </c>
      <c r="F886" s="3">
        <v>183.53</v>
      </c>
      <c r="G886" s="3">
        <v>0</v>
      </c>
      <c r="H886" s="342">
        <v>0</v>
      </c>
      <c r="I886" s="335"/>
    </row>
    <row r="887" spans="1:9" x14ac:dyDescent="0.25">
      <c r="A887" s="341" t="s">
        <v>2982</v>
      </c>
      <c r="B887" s="335"/>
      <c r="C887" s="2" t="s">
        <v>2983</v>
      </c>
      <c r="D887" s="3">
        <v>94175.79</v>
      </c>
      <c r="E887" s="3">
        <v>120043.1</v>
      </c>
      <c r="F887" s="3">
        <v>132773.88</v>
      </c>
      <c r="G887" s="3">
        <v>109999.61</v>
      </c>
      <c r="H887" s="342">
        <v>0</v>
      </c>
      <c r="I887" s="335"/>
    </row>
    <row r="888" spans="1:9" x14ac:dyDescent="0.25">
      <c r="A888" s="341" t="s">
        <v>2984</v>
      </c>
      <c r="B888" s="335"/>
      <c r="C888" s="2" t="s">
        <v>2985</v>
      </c>
      <c r="D888" s="3">
        <v>2245.35</v>
      </c>
      <c r="E888" s="3">
        <v>0</v>
      </c>
      <c r="F888" s="3">
        <v>236.68</v>
      </c>
      <c r="G888" s="3">
        <v>0</v>
      </c>
      <c r="H888" s="342">
        <v>0</v>
      </c>
      <c r="I888" s="335"/>
    </row>
    <row r="889" spans="1:9" ht="24" x14ac:dyDescent="0.25">
      <c r="A889" s="341" t="s">
        <v>2986</v>
      </c>
      <c r="B889" s="335"/>
      <c r="C889" s="2" t="s">
        <v>2987</v>
      </c>
      <c r="D889" s="3">
        <v>12900</v>
      </c>
      <c r="E889" s="3">
        <v>13200</v>
      </c>
      <c r="F889" s="3">
        <v>18300</v>
      </c>
      <c r="G889" s="3">
        <v>7340</v>
      </c>
      <c r="H889" s="342">
        <v>0</v>
      </c>
      <c r="I889" s="335"/>
    </row>
    <row r="890" spans="1:9" x14ac:dyDescent="0.25">
      <c r="A890" s="341" t="s">
        <v>2988</v>
      </c>
      <c r="B890" s="335"/>
      <c r="C890" s="2" t="s">
        <v>2989</v>
      </c>
      <c r="D890" s="3">
        <v>4352</v>
      </c>
      <c r="E890" s="3">
        <v>4076.8</v>
      </c>
      <c r="F890" s="3">
        <v>8885.25</v>
      </c>
      <c r="G890" s="3">
        <v>5352.82</v>
      </c>
      <c r="H890" s="342">
        <v>0</v>
      </c>
      <c r="I890" s="335"/>
    </row>
    <row r="891" spans="1:9" x14ac:dyDescent="0.25">
      <c r="A891" s="341" t="s">
        <v>2990</v>
      </c>
      <c r="B891" s="335"/>
      <c r="C891" s="2" t="s">
        <v>2991</v>
      </c>
      <c r="D891" s="3">
        <v>0</v>
      </c>
      <c r="E891" s="3">
        <v>0</v>
      </c>
      <c r="F891" s="3">
        <v>300</v>
      </c>
      <c r="G891" s="3">
        <v>1884.76</v>
      </c>
      <c r="H891" s="342">
        <v>0</v>
      </c>
      <c r="I891" s="335"/>
    </row>
    <row r="892" spans="1:9" x14ac:dyDescent="0.25">
      <c r="A892" s="341" t="s">
        <v>2992</v>
      </c>
      <c r="B892" s="335"/>
      <c r="C892" s="2" t="s">
        <v>2993</v>
      </c>
      <c r="D892" s="3">
        <v>0</v>
      </c>
      <c r="E892" s="3">
        <v>0</v>
      </c>
      <c r="F892" s="3">
        <v>0</v>
      </c>
      <c r="G892" s="3">
        <v>0</v>
      </c>
      <c r="H892" s="342">
        <v>0</v>
      </c>
      <c r="I892" s="335"/>
    </row>
    <row r="893" spans="1:9" x14ac:dyDescent="0.25">
      <c r="A893" s="341" t="s">
        <v>2994</v>
      </c>
      <c r="B893" s="335"/>
      <c r="C893" s="2" t="s">
        <v>2584</v>
      </c>
      <c r="D893" s="3">
        <v>38556.79</v>
      </c>
      <c r="E893" s="3">
        <v>9589.73</v>
      </c>
      <c r="F893" s="3">
        <v>3559.94</v>
      </c>
      <c r="G893" s="3">
        <v>16033.73</v>
      </c>
      <c r="H893" s="342">
        <v>0</v>
      </c>
      <c r="I893" s="335"/>
    </row>
    <row r="894" spans="1:9" x14ac:dyDescent="0.25">
      <c r="A894" s="341" t="s">
        <v>2995</v>
      </c>
      <c r="B894" s="335"/>
      <c r="C894" s="2" t="s">
        <v>2930</v>
      </c>
      <c r="D894" s="3">
        <v>0</v>
      </c>
      <c r="E894" s="3">
        <v>0</v>
      </c>
      <c r="F894" s="3">
        <v>594</v>
      </c>
      <c r="G894" s="3">
        <v>801.09</v>
      </c>
      <c r="H894" s="342">
        <v>0</v>
      </c>
      <c r="I894" s="335"/>
    </row>
    <row r="895" spans="1:9" x14ac:dyDescent="0.25">
      <c r="A895" s="341" t="s">
        <v>2996</v>
      </c>
      <c r="B895" s="335"/>
      <c r="C895" s="2" t="s">
        <v>2932</v>
      </c>
      <c r="D895" s="3">
        <v>0</v>
      </c>
      <c r="E895" s="3">
        <v>0</v>
      </c>
      <c r="F895" s="3">
        <v>0</v>
      </c>
      <c r="G895" s="3">
        <v>0</v>
      </c>
      <c r="H895" s="342">
        <v>0</v>
      </c>
      <c r="I895" s="335"/>
    </row>
    <row r="896" spans="1:9" x14ac:dyDescent="0.25">
      <c r="A896" s="341" t="s">
        <v>2997</v>
      </c>
      <c r="B896" s="335"/>
      <c r="C896" s="2" t="s">
        <v>2934</v>
      </c>
      <c r="D896" s="3">
        <v>0</v>
      </c>
      <c r="E896" s="3">
        <v>0</v>
      </c>
      <c r="F896" s="3">
        <v>0</v>
      </c>
      <c r="G896" s="3">
        <v>10530.93</v>
      </c>
      <c r="H896" s="342">
        <v>0</v>
      </c>
      <c r="I896" s="335"/>
    </row>
    <row r="897" spans="1:9" x14ac:dyDescent="0.25">
      <c r="A897" s="341" t="s">
        <v>2998</v>
      </c>
      <c r="B897" s="335"/>
      <c r="C897" s="2" t="s">
        <v>2409</v>
      </c>
      <c r="D897" s="3">
        <v>49314.28</v>
      </c>
      <c r="E897" s="3">
        <v>14741.34</v>
      </c>
      <c r="F897" s="3">
        <v>4045.69</v>
      </c>
      <c r="G897" s="3">
        <v>16163.12</v>
      </c>
      <c r="H897" s="342">
        <v>0</v>
      </c>
      <c r="I897" s="335"/>
    </row>
    <row r="898" spans="1:9" x14ac:dyDescent="0.25">
      <c r="A898" s="341" t="s">
        <v>2999</v>
      </c>
      <c r="B898" s="335"/>
      <c r="C898" s="2" t="s">
        <v>2703</v>
      </c>
      <c r="D898" s="3">
        <v>0</v>
      </c>
      <c r="E898" s="3">
        <v>0</v>
      </c>
      <c r="F898" s="3">
        <v>0</v>
      </c>
      <c r="G898" s="3">
        <v>0</v>
      </c>
      <c r="H898" s="342">
        <v>0</v>
      </c>
      <c r="I898" s="335"/>
    </row>
    <row r="899" spans="1:9" x14ac:dyDescent="0.25">
      <c r="A899" s="341" t="s">
        <v>3000</v>
      </c>
      <c r="B899" s="335"/>
      <c r="C899" s="2" t="s">
        <v>2938</v>
      </c>
      <c r="D899" s="3">
        <v>30.5</v>
      </c>
      <c r="E899" s="3">
        <v>127.69</v>
      </c>
      <c r="F899" s="3">
        <v>14.65</v>
      </c>
      <c r="G899" s="3">
        <v>9.3000000000000007</v>
      </c>
      <c r="H899" s="342">
        <v>0</v>
      </c>
      <c r="I899" s="335"/>
    </row>
    <row r="900" spans="1:9" x14ac:dyDescent="0.25">
      <c r="A900" s="341" t="s">
        <v>3349</v>
      </c>
      <c r="B900" s="335"/>
      <c r="C900" s="2" t="s">
        <v>3348</v>
      </c>
      <c r="D900" s="3">
        <v>0</v>
      </c>
      <c r="E900" s="3">
        <v>0</v>
      </c>
      <c r="F900" s="3">
        <v>0</v>
      </c>
      <c r="G900" s="3">
        <v>0</v>
      </c>
      <c r="H900" s="342">
        <v>0</v>
      </c>
      <c r="I900" s="335"/>
    </row>
    <row r="901" spans="1:9" ht="24" x14ac:dyDescent="0.25">
      <c r="A901" s="341" t="s">
        <v>3347</v>
      </c>
      <c r="B901" s="335"/>
      <c r="C901" s="2" t="s">
        <v>3346</v>
      </c>
      <c r="D901" s="3">
        <v>0</v>
      </c>
      <c r="E901" s="3">
        <v>0</v>
      </c>
      <c r="F901" s="3">
        <v>0</v>
      </c>
      <c r="G901" s="3">
        <v>0</v>
      </c>
      <c r="H901" s="342">
        <v>0</v>
      </c>
      <c r="I901" s="335"/>
    </row>
    <row r="902" spans="1:9" x14ac:dyDescent="0.25">
      <c r="A902" s="341" t="s">
        <v>3001</v>
      </c>
      <c r="B902" s="335"/>
      <c r="C902" s="2" t="s">
        <v>3002</v>
      </c>
      <c r="D902" s="3">
        <v>0</v>
      </c>
      <c r="E902" s="3">
        <v>0</v>
      </c>
      <c r="F902" s="3">
        <v>955.95</v>
      </c>
      <c r="G902" s="3">
        <v>1623.5</v>
      </c>
      <c r="H902" s="342">
        <v>0</v>
      </c>
      <c r="I902" s="335"/>
    </row>
    <row r="903" spans="1:9" x14ac:dyDescent="0.25">
      <c r="A903" s="341" t="s">
        <v>3003</v>
      </c>
      <c r="B903" s="335"/>
      <c r="C903" s="2" t="s">
        <v>2942</v>
      </c>
      <c r="D903" s="3">
        <v>0</v>
      </c>
      <c r="E903" s="3">
        <v>170.15</v>
      </c>
      <c r="F903" s="3">
        <v>0</v>
      </c>
      <c r="G903" s="3">
        <v>0</v>
      </c>
      <c r="H903" s="342">
        <v>0</v>
      </c>
      <c r="I903" s="335"/>
    </row>
    <row r="904" spans="1:9" x14ac:dyDescent="0.25">
      <c r="A904" s="341" t="s">
        <v>3004</v>
      </c>
      <c r="B904" s="335"/>
      <c r="C904" s="2" t="s">
        <v>3005</v>
      </c>
      <c r="D904" s="3">
        <v>0</v>
      </c>
      <c r="E904" s="3">
        <v>0</v>
      </c>
      <c r="F904" s="3">
        <v>0</v>
      </c>
      <c r="G904" s="3">
        <v>0</v>
      </c>
      <c r="H904" s="342">
        <v>0</v>
      </c>
      <c r="I904" s="335"/>
    </row>
    <row r="905" spans="1:9" ht="24" x14ac:dyDescent="0.25">
      <c r="A905" s="341" t="s">
        <v>3345</v>
      </c>
      <c r="B905" s="335"/>
      <c r="C905" s="2" t="s">
        <v>3344</v>
      </c>
      <c r="D905" s="3">
        <v>0</v>
      </c>
      <c r="E905" s="3">
        <v>0</v>
      </c>
      <c r="F905" s="3">
        <v>0</v>
      </c>
      <c r="G905" s="3">
        <v>0</v>
      </c>
      <c r="H905" s="342">
        <v>0</v>
      </c>
      <c r="I905" s="335"/>
    </row>
    <row r="906" spans="1:9" x14ac:dyDescent="0.25">
      <c r="A906" s="341" t="s">
        <v>3343</v>
      </c>
      <c r="B906" s="335"/>
      <c r="C906" s="2" t="s">
        <v>3342</v>
      </c>
      <c r="D906" s="3">
        <v>72599.850000000006</v>
      </c>
      <c r="E906" s="3">
        <v>0</v>
      </c>
      <c r="F906" s="3">
        <v>0</v>
      </c>
      <c r="G906" s="3">
        <v>0</v>
      </c>
      <c r="H906" s="342">
        <v>0</v>
      </c>
      <c r="I906" s="335"/>
    </row>
    <row r="907" spans="1:9" x14ac:dyDescent="0.25">
      <c r="A907" s="341" t="s">
        <v>3007</v>
      </c>
      <c r="B907" s="335"/>
      <c r="C907" s="2" t="s">
        <v>3008</v>
      </c>
      <c r="D907" s="3">
        <v>0</v>
      </c>
      <c r="E907" s="3">
        <v>0</v>
      </c>
      <c r="F907" s="3">
        <v>0</v>
      </c>
      <c r="G907" s="3">
        <v>0</v>
      </c>
      <c r="H907" s="342">
        <v>0</v>
      </c>
      <c r="I907" s="335"/>
    </row>
    <row r="908" spans="1:9" x14ac:dyDescent="0.25">
      <c r="A908" s="341" t="s">
        <v>3009</v>
      </c>
      <c r="B908" s="335"/>
      <c r="C908" s="2" t="s">
        <v>3010</v>
      </c>
      <c r="D908" s="3">
        <v>0</v>
      </c>
      <c r="E908" s="3">
        <v>0</v>
      </c>
      <c r="F908" s="3">
        <v>0</v>
      </c>
      <c r="G908" s="3">
        <v>0</v>
      </c>
      <c r="H908" s="342">
        <v>0</v>
      </c>
      <c r="I908" s="335"/>
    </row>
    <row r="909" spans="1:9" x14ac:dyDescent="0.25">
      <c r="A909" s="341" t="s">
        <v>3012</v>
      </c>
      <c r="B909" s="335"/>
      <c r="C909" s="2" t="s">
        <v>3013</v>
      </c>
      <c r="D909" s="3">
        <v>0</v>
      </c>
      <c r="E909" s="3">
        <v>0</v>
      </c>
      <c r="F909" s="3">
        <v>0</v>
      </c>
      <c r="G909" s="3">
        <v>0</v>
      </c>
      <c r="H909" s="342">
        <v>0</v>
      </c>
      <c r="I909" s="335"/>
    </row>
    <row r="910" spans="1:9" x14ac:dyDescent="0.25">
      <c r="A910" s="341" t="s">
        <v>3014</v>
      </c>
      <c r="B910" s="335"/>
      <c r="C910" s="2" t="s">
        <v>2965</v>
      </c>
      <c r="D910" s="3">
        <v>0</v>
      </c>
      <c r="E910" s="3">
        <v>0</v>
      </c>
      <c r="F910" s="3">
        <v>0</v>
      </c>
      <c r="G910" s="3">
        <v>0</v>
      </c>
      <c r="H910" s="342">
        <v>0</v>
      </c>
      <c r="I910" s="335"/>
    </row>
    <row r="911" spans="1:9" x14ac:dyDescent="0.25">
      <c r="A911" s="340" t="s">
        <v>1643</v>
      </c>
      <c r="B911" s="335"/>
      <c r="C911" s="1" t="s">
        <v>2</v>
      </c>
      <c r="D911" s="4">
        <v>5531811.4100000001</v>
      </c>
      <c r="E911" s="4">
        <v>6241348.54</v>
      </c>
      <c r="F911" s="4">
        <v>7170675.2699999996</v>
      </c>
      <c r="G911" s="49">
        <v>5810846.0599999996</v>
      </c>
      <c r="H911" s="343">
        <v>0</v>
      </c>
      <c r="I911" s="335"/>
    </row>
    <row r="912" spans="1:9" x14ac:dyDescent="0.25">
      <c r="A912" s="340" t="s">
        <v>2</v>
      </c>
      <c r="B912" s="335"/>
      <c r="C912" s="1" t="s">
        <v>2</v>
      </c>
      <c r="D912" s="1" t="s">
        <v>2</v>
      </c>
      <c r="E912" s="1" t="s">
        <v>2</v>
      </c>
      <c r="F912" s="1" t="s">
        <v>2</v>
      </c>
      <c r="G912" s="1" t="s">
        <v>2</v>
      </c>
      <c r="H912" s="340" t="s">
        <v>2</v>
      </c>
      <c r="I912" s="335"/>
    </row>
    <row r="913" spans="1:9" x14ac:dyDescent="0.25">
      <c r="A913" s="340" t="s">
        <v>1644</v>
      </c>
      <c r="B913" s="335"/>
      <c r="C913" s="1" t="s">
        <v>2</v>
      </c>
    </row>
    <row r="914" spans="1:9" x14ac:dyDescent="0.25">
      <c r="A914" s="341" t="s">
        <v>3017</v>
      </c>
      <c r="B914" s="335"/>
      <c r="C914" s="2" t="s">
        <v>2409</v>
      </c>
      <c r="D914" s="3">
        <v>90.68</v>
      </c>
      <c r="E914" s="3">
        <v>25.37</v>
      </c>
      <c r="F914" s="3">
        <v>4.01</v>
      </c>
      <c r="G914" s="3">
        <v>8.25</v>
      </c>
      <c r="H914" s="342">
        <v>0</v>
      </c>
      <c r="I914" s="335"/>
    </row>
    <row r="915" spans="1:9" ht="24" x14ac:dyDescent="0.25">
      <c r="A915" s="341" t="s">
        <v>3018</v>
      </c>
      <c r="B915" s="335"/>
      <c r="C915" s="2" t="s">
        <v>3019</v>
      </c>
      <c r="D915" s="3">
        <v>0</v>
      </c>
      <c r="E915" s="3">
        <v>330.7</v>
      </c>
      <c r="F915" s="3">
        <v>0</v>
      </c>
      <c r="G915" s="3">
        <v>0</v>
      </c>
      <c r="H915" s="342">
        <v>0</v>
      </c>
      <c r="I915" s="335"/>
    </row>
    <row r="916" spans="1:9" ht="24" x14ac:dyDescent="0.25">
      <c r="A916" s="341" t="s">
        <v>3020</v>
      </c>
      <c r="B916" s="335"/>
      <c r="C916" s="2" t="s">
        <v>3021</v>
      </c>
      <c r="D916" s="3">
        <v>0</v>
      </c>
      <c r="E916" s="3">
        <v>3925669.3</v>
      </c>
      <c r="F916" s="3">
        <v>0</v>
      </c>
      <c r="G916" s="3">
        <v>0</v>
      </c>
      <c r="H916" s="342">
        <v>0</v>
      </c>
      <c r="I916" s="335"/>
    </row>
    <row r="917" spans="1:9" x14ac:dyDescent="0.25">
      <c r="A917" s="341" t="s">
        <v>3022</v>
      </c>
      <c r="B917" s="335"/>
      <c r="C917" s="2" t="s">
        <v>3023</v>
      </c>
      <c r="D917" s="3">
        <v>702402.5</v>
      </c>
      <c r="E917" s="3">
        <v>696399.54</v>
      </c>
      <c r="F917" s="3">
        <v>695259.19</v>
      </c>
      <c r="G917" s="3">
        <v>120111</v>
      </c>
      <c r="H917" s="342">
        <v>0</v>
      </c>
      <c r="I917" s="335"/>
    </row>
    <row r="918" spans="1:9" x14ac:dyDescent="0.25">
      <c r="A918" s="341" t="s">
        <v>3024</v>
      </c>
      <c r="B918" s="335"/>
      <c r="C918" s="2" t="s">
        <v>3025</v>
      </c>
      <c r="D918" s="3">
        <v>397626</v>
      </c>
      <c r="E918" s="3">
        <v>620514.68999999994</v>
      </c>
      <c r="F918" s="3">
        <v>833632.54</v>
      </c>
      <c r="G918" s="3">
        <v>270822</v>
      </c>
      <c r="H918" s="342">
        <v>0</v>
      </c>
      <c r="I918" s="335"/>
    </row>
    <row r="919" spans="1:9" x14ac:dyDescent="0.25">
      <c r="A919" s="341" t="s">
        <v>3026</v>
      </c>
      <c r="B919" s="335"/>
      <c r="C919" s="2" t="s">
        <v>3027</v>
      </c>
      <c r="D919" s="3">
        <v>41140.5</v>
      </c>
      <c r="E919" s="3">
        <v>40612.5</v>
      </c>
      <c r="F919" s="3">
        <v>39979</v>
      </c>
      <c r="G919" s="3">
        <v>7056.25</v>
      </c>
      <c r="H919" s="342">
        <v>0</v>
      </c>
      <c r="I919" s="335"/>
    </row>
    <row r="920" spans="1:9" x14ac:dyDescent="0.25">
      <c r="A920" s="340" t="s">
        <v>1690</v>
      </c>
      <c r="B920" s="335"/>
      <c r="C920" s="1" t="s">
        <v>2</v>
      </c>
      <c r="D920" s="4">
        <v>1141259.68</v>
      </c>
      <c r="E920" s="4">
        <v>5283552.0999999996</v>
      </c>
      <c r="F920" s="4">
        <v>1568874.74</v>
      </c>
      <c r="G920" s="49">
        <v>397997.5</v>
      </c>
      <c r="H920" s="343">
        <v>0</v>
      </c>
      <c r="I920" s="335"/>
    </row>
    <row r="921" spans="1:9" x14ac:dyDescent="0.25">
      <c r="A921" s="340" t="s">
        <v>2</v>
      </c>
      <c r="B921" s="335"/>
      <c r="C921" s="1" t="s">
        <v>2</v>
      </c>
      <c r="D921" s="1" t="s">
        <v>2</v>
      </c>
      <c r="E921" s="1" t="s">
        <v>2</v>
      </c>
      <c r="F921" s="1" t="s">
        <v>2</v>
      </c>
      <c r="G921" s="1" t="s">
        <v>2</v>
      </c>
      <c r="H921" s="340" t="s">
        <v>2</v>
      </c>
      <c r="I921" s="335"/>
    </row>
    <row r="922" spans="1:9" x14ac:dyDescent="0.25">
      <c r="A922" s="340" t="s">
        <v>1691</v>
      </c>
      <c r="B922" s="335"/>
      <c r="C922" s="1" t="s">
        <v>2</v>
      </c>
    </row>
    <row r="923" spans="1:9" x14ac:dyDescent="0.25">
      <c r="A923" s="341" t="s">
        <v>3030</v>
      </c>
      <c r="B923" s="335"/>
      <c r="C923" s="2" t="s">
        <v>2409</v>
      </c>
      <c r="D923" s="3">
        <v>0</v>
      </c>
      <c r="E923" s="3">
        <v>0</v>
      </c>
      <c r="F923" s="3">
        <v>881.49</v>
      </c>
      <c r="G923" s="3">
        <v>2168.4899999999998</v>
      </c>
      <c r="H923" s="342">
        <v>0</v>
      </c>
      <c r="I923" s="335"/>
    </row>
    <row r="924" spans="1:9" x14ac:dyDescent="0.25">
      <c r="A924" s="341" t="s">
        <v>3031</v>
      </c>
      <c r="B924" s="335"/>
      <c r="C924" s="2" t="s">
        <v>2703</v>
      </c>
      <c r="D924" s="3">
        <v>0</v>
      </c>
      <c r="E924" s="3">
        <v>0</v>
      </c>
      <c r="F924" s="3">
        <v>0</v>
      </c>
      <c r="G924" s="3">
        <v>0</v>
      </c>
      <c r="H924" s="342">
        <v>0</v>
      </c>
      <c r="I924" s="335"/>
    </row>
    <row r="925" spans="1:9" x14ac:dyDescent="0.25">
      <c r="A925" s="340" t="s">
        <v>1698</v>
      </c>
      <c r="B925" s="335"/>
      <c r="C925" s="1" t="s">
        <v>2</v>
      </c>
      <c r="D925" s="4">
        <v>0</v>
      </c>
      <c r="E925" s="4">
        <v>0</v>
      </c>
      <c r="F925" s="4">
        <v>881.49</v>
      </c>
      <c r="G925" s="49">
        <v>2168.4899999999998</v>
      </c>
      <c r="H925" s="343">
        <v>0</v>
      </c>
      <c r="I925" s="335"/>
    </row>
    <row r="926" spans="1:9" x14ac:dyDescent="0.25">
      <c r="A926" s="340" t="s">
        <v>2</v>
      </c>
      <c r="B926" s="335"/>
      <c r="C926" s="1" t="s">
        <v>2</v>
      </c>
      <c r="D926" s="1" t="s">
        <v>2</v>
      </c>
      <c r="E926" s="1" t="s">
        <v>2</v>
      </c>
      <c r="F926" s="1" t="s">
        <v>2</v>
      </c>
      <c r="G926" s="1" t="s">
        <v>2</v>
      </c>
      <c r="H926" s="340" t="s">
        <v>2</v>
      </c>
      <c r="I926" s="335"/>
    </row>
    <row r="927" spans="1:9" x14ac:dyDescent="0.25">
      <c r="A927" s="340" t="s">
        <v>3034</v>
      </c>
      <c r="B927" s="335"/>
      <c r="C927" s="1" t="s">
        <v>2</v>
      </c>
    </row>
    <row r="928" spans="1:9" x14ac:dyDescent="0.25">
      <c r="A928" s="341" t="s">
        <v>3035</v>
      </c>
      <c r="B928" s="335"/>
      <c r="C928" s="2" t="s">
        <v>2409</v>
      </c>
      <c r="D928" s="3">
        <v>20074.849999999999</v>
      </c>
      <c r="E928" s="3">
        <v>5616.23</v>
      </c>
      <c r="F928" s="3">
        <v>1816.13</v>
      </c>
      <c r="G928" s="3">
        <v>4089.91</v>
      </c>
      <c r="H928" s="342">
        <v>0</v>
      </c>
      <c r="I928" s="335"/>
    </row>
    <row r="929" spans="1:9" x14ac:dyDescent="0.25">
      <c r="A929" s="341" t="s">
        <v>3036</v>
      </c>
      <c r="B929" s="335"/>
      <c r="C929" s="2" t="s">
        <v>3037</v>
      </c>
      <c r="D929" s="3">
        <v>0</v>
      </c>
      <c r="E929" s="3">
        <v>0</v>
      </c>
      <c r="F929" s="3">
        <v>1000000</v>
      </c>
      <c r="G929" s="3">
        <v>0</v>
      </c>
      <c r="H929" s="342">
        <v>0</v>
      </c>
      <c r="I929" s="335"/>
    </row>
    <row r="930" spans="1:9" x14ac:dyDescent="0.25">
      <c r="A930" s="340" t="s">
        <v>3038</v>
      </c>
      <c r="B930" s="335"/>
      <c r="C930" s="1" t="s">
        <v>2</v>
      </c>
      <c r="D930" s="4">
        <v>20074.849999999999</v>
      </c>
      <c r="E930" s="4">
        <v>5616.23</v>
      </c>
      <c r="F930" s="4">
        <v>1001816.13</v>
      </c>
      <c r="G930" s="49">
        <v>4089.91</v>
      </c>
      <c r="H930" s="343">
        <v>0</v>
      </c>
      <c r="I930" s="335"/>
    </row>
    <row r="931" spans="1:9" x14ac:dyDescent="0.25">
      <c r="A931" s="340" t="s">
        <v>2</v>
      </c>
      <c r="B931" s="335"/>
      <c r="C931" s="1" t="s">
        <v>2</v>
      </c>
      <c r="D931" s="1" t="s">
        <v>2</v>
      </c>
      <c r="E931" s="1" t="s">
        <v>2</v>
      </c>
      <c r="F931" s="1" t="s">
        <v>2</v>
      </c>
      <c r="G931" s="1" t="s">
        <v>2</v>
      </c>
      <c r="H931" s="340" t="s">
        <v>2</v>
      </c>
      <c r="I931" s="335"/>
    </row>
    <row r="932" spans="1:9" x14ac:dyDescent="0.25">
      <c r="A932" s="340" t="s">
        <v>1699</v>
      </c>
      <c r="B932" s="335"/>
      <c r="C932" s="1" t="s">
        <v>2</v>
      </c>
    </row>
    <row r="933" spans="1:9" ht="24" x14ac:dyDescent="0.25">
      <c r="A933" s="341" t="s">
        <v>3041</v>
      </c>
      <c r="B933" s="335"/>
      <c r="C933" s="2" t="s">
        <v>2608</v>
      </c>
      <c r="D933" s="3">
        <v>0</v>
      </c>
      <c r="E933" s="3">
        <v>6833.36</v>
      </c>
      <c r="F933" s="3">
        <v>0</v>
      </c>
      <c r="G933" s="3">
        <v>0</v>
      </c>
      <c r="H933" s="342">
        <v>0</v>
      </c>
      <c r="I933" s="335"/>
    </row>
    <row r="934" spans="1:9" x14ac:dyDescent="0.25">
      <c r="A934" s="341" t="s">
        <v>3042</v>
      </c>
      <c r="B934" s="335"/>
      <c r="C934" s="2" t="s">
        <v>2123</v>
      </c>
      <c r="D934" s="3">
        <v>0</v>
      </c>
      <c r="E934" s="3">
        <v>0</v>
      </c>
      <c r="F934" s="3">
        <v>77.41</v>
      </c>
      <c r="G934" s="3">
        <v>0</v>
      </c>
      <c r="H934" s="342">
        <v>0</v>
      </c>
      <c r="I934" s="335"/>
    </row>
    <row r="935" spans="1:9" x14ac:dyDescent="0.25">
      <c r="A935" s="341" t="s">
        <v>3043</v>
      </c>
      <c r="B935" s="335"/>
      <c r="C935" s="2" t="s">
        <v>3044</v>
      </c>
      <c r="D935" s="3">
        <v>91784.82</v>
      </c>
      <c r="E935" s="3">
        <v>21551.35</v>
      </c>
      <c r="F935" s="3">
        <v>129721.74</v>
      </c>
      <c r="G935" s="3">
        <v>1013625.56</v>
      </c>
      <c r="H935" s="342">
        <v>0</v>
      </c>
      <c r="I935" s="335"/>
    </row>
    <row r="936" spans="1:9" x14ac:dyDescent="0.25">
      <c r="A936" s="341" t="s">
        <v>3045</v>
      </c>
      <c r="B936" s="335"/>
      <c r="C936" s="2" t="s">
        <v>3046</v>
      </c>
      <c r="D936" s="3">
        <v>0</v>
      </c>
      <c r="E936" s="3">
        <v>0</v>
      </c>
      <c r="F936" s="3">
        <v>0</v>
      </c>
      <c r="G936" s="3">
        <v>0</v>
      </c>
      <c r="H936" s="342">
        <v>0</v>
      </c>
      <c r="I936" s="335"/>
    </row>
    <row r="937" spans="1:9" x14ac:dyDescent="0.25">
      <c r="A937" s="341" t="s">
        <v>3047</v>
      </c>
      <c r="B937" s="335"/>
      <c r="C937" s="2" t="s">
        <v>3048</v>
      </c>
      <c r="D937" s="3">
        <v>0</v>
      </c>
      <c r="E937" s="3">
        <v>0</v>
      </c>
      <c r="F937" s="3">
        <v>0</v>
      </c>
      <c r="G937" s="3">
        <v>0</v>
      </c>
      <c r="H937" s="342">
        <v>0</v>
      </c>
      <c r="I937" s="335"/>
    </row>
    <row r="938" spans="1:9" x14ac:dyDescent="0.25">
      <c r="A938" s="341" t="s">
        <v>3049</v>
      </c>
      <c r="B938" s="335"/>
      <c r="C938" s="2" t="s">
        <v>3050</v>
      </c>
      <c r="D938" s="3">
        <v>0</v>
      </c>
      <c r="E938" s="3">
        <v>0</v>
      </c>
      <c r="F938" s="3">
        <v>0</v>
      </c>
      <c r="G938" s="3">
        <v>0</v>
      </c>
      <c r="H938" s="342">
        <v>0</v>
      </c>
      <c r="I938" s="335"/>
    </row>
    <row r="939" spans="1:9" x14ac:dyDescent="0.25">
      <c r="A939" s="341" t="s">
        <v>3051</v>
      </c>
      <c r="B939" s="335"/>
      <c r="C939" s="2" t="s">
        <v>3052</v>
      </c>
      <c r="D939" s="3">
        <v>1287998.58</v>
      </c>
      <c r="E939" s="3">
        <v>1355351.75</v>
      </c>
      <c r="F939" s="3">
        <v>1485311.07</v>
      </c>
      <c r="G939" s="3">
        <v>1319963.6200000001</v>
      </c>
      <c r="H939" s="342">
        <v>0</v>
      </c>
      <c r="I939" s="335"/>
    </row>
    <row r="940" spans="1:9" ht="24" x14ac:dyDescent="0.25">
      <c r="A940" s="341" t="s">
        <v>3053</v>
      </c>
      <c r="B940" s="335"/>
      <c r="C940" s="2" t="s">
        <v>3054</v>
      </c>
      <c r="D940" s="3">
        <v>32654.09</v>
      </c>
      <c r="E940" s="3">
        <v>40389.480000000003</v>
      </c>
      <c r="F940" s="3">
        <v>42164.87</v>
      </c>
      <c r="G940" s="3">
        <v>35409.449999999997</v>
      </c>
      <c r="H940" s="342">
        <v>0</v>
      </c>
      <c r="I940" s="335"/>
    </row>
    <row r="941" spans="1:9" ht="24" x14ac:dyDescent="0.25">
      <c r="A941" s="341" t="s">
        <v>3055</v>
      </c>
      <c r="B941" s="335"/>
      <c r="C941" s="2" t="s">
        <v>3056</v>
      </c>
      <c r="D941" s="3">
        <v>-7905.78</v>
      </c>
      <c r="E941" s="3">
        <v>0</v>
      </c>
      <c r="F941" s="3">
        <v>0</v>
      </c>
      <c r="G941" s="3">
        <v>0</v>
      </c>
      <c r="H941" s="342">
        <v>0</v>
      </c>
      <c r="I941" s="335"/>
    </row>
    <row r="942" spans="1:9" ht="24" x14ac:dyDescent="0.25">
      <c r="A942" s="341" t="s">
        <v>3057</v>
      </c>
      <c r="B942" s="335"/>
      <c r="C942" s="2" t="s">
        <v>3058</v>
      </c>
      <c r="D942" s="3">
        <v>13700</v>
      </c>
      <c r="E942" s="3">
        <v>15000</v>
      </c>
      <c r="F942" s="3">
        <v>18900</v>
      </c>
      <c r="G942" s="3">
        <v>7860</v>
      </c>
      <c r="H942" s="342">
        <v>0</v>
      </c>
      <c r="I942" s="335"/>
    </row>
    <row r="943" spans="1:9" x14ac:dyDescent="0.25">
      <c r="A943" s="341" t="s">
        <v>3059</v>
      </c>
      <c r="B943" s="335"/>
      <c r="C943" s="2" t="s">
        <v>2989</v>
      </c>
      <c r="D943" s="3">
        <v>4352</v>
      </c>
      <c r="E943" s="3">
        <v>4076.8</v>
      </c>
      <c r="F943" s="3">
        <v>1974.5</v>
      </c>
      <c r="G943" s="3">
        <v>1189.52</v>
      </c>
      <c r="H943" s="342">
        <v>0</v>
      </c>
      <c r="I943" s="335"/>
    </row>
    <row r="944" spans="1:9" x14ac:dyDescent="0.25">
      <c r="A944" s="341" t="s">
        <v>3341</v>
      </c>
      <c r="B944" s="335"/>
      <c r="C944" s="2" t="s">
        <v>64</v>
      </c>
      <c r="D944" s="3">
        <v>0</v>
      </c>
      <c r="E944" s="3">
        <v>2072.73</v>
      </c>
      <c r="F944" s="3">
        <v>0</v>
      </c>
      <c r="G944" s="3">
        <v>0</v>
      </c>
      <c r="H944" s="342">
        <v>0</v>
      </c>
      <c r="I944" s="335"/>
    </row>
    <row r="945" spans="1:9" x14ac:dyDescent="0.25">
      <c r="A945" s="341" t="s">
        <v>3060</v>
      </c>
      <c r="B945" s="335"/>
      <c r="C945" s="2" t="s">
        <v>3061</v>
      </c>
      <c r="D945" s="3">
        <v>11983.5</v>
      </c>
      <c r="E945" s="3">
        <v>0</v>
      </c>
      <c r="F945" s="3">
        <v>0</v>
      </c>
      <c r="G945" s="3">
        <v>0</v>
      </c>
      <c r="H945" s="342">
        <v>0</v>
      </c>
      <c r="I945" s="335"/>
    </row>
    <row r="946" spans="1:9" ht="24" x14ac:dyDescent="0.25">
      <c r="A946" s="341" t="s">
        <v>3062</v>
      </c>
      <c r="B946" s="335"/>
      <c r="C946" s="2" t="s">
        <v>3063</v>
      </c>
      <c r="D946" s="3">
        <v>0</v>
      </c>
      <c r="E946" s="3">
        <v>0</v>
      </c>
      <c r="F946" s="3">
        <v>0</v>
      </c>
      <c r="G946" s="3">
        <v>0</v>
      </c>
      <c r="H946" s="342">
        <v>0</v>
      </c>
      <c r="I946" s="335"/>
    </row>
    <row r="947" spans="1:9" x14ac:dyDescent="0.25">
      <c r="A947" s="341" t="s">
        <v>3064</v>
      </c>
      <c r="B947" s="335"/>
      <c r="C947" s="2" t="s">
        <v>3065</v>
      </c>
      <c r="D947" s="3">
        <v>0</v>
      </c>
      <c r="E947" s="3">
        <v>0</v>
      </c>
      <c r="F947" s="3">
        <v>0</v>
      </c>
      <c r="G947" s="3">
        <v>2100.13</v>
      </c>
      <c r="H947" s="342">
        <v>0</v>
      </c>
      <c r="I947" s="335"/>
    </row>
    <row r="948" spans="1:9" ht="24" x14ac:dyDescent="0.25">
      <c r="A948" s="341" t="s">
        <v>3066</v>
      </c>
      <c r="B948" s="335"/>
      <c r="C948" s="2" t="s">
        <v>3067</v>
      </c>
      <c r="D948" s="3">
        <v>24691.84</v>
      </c>
      <c r="E948" s="3">
        <v>0</v>
      </c>
      <c r="F948" s="3">
        <v>0</v>
      </c>
      <c r="G948" s="3">
        <v>8779.18</v>
      </c>
      <c r="H948" s="342">
        <v>0</v>
      </c>
      <c r="I948" s="335"/>
    </row>
    <row r="949" spans="1:9" x14ac:dyDescent="0.25">
      <c r="A949" s="341" t="s">
        <v>3068</v>
      </c>
      <c r="B949" s="335"/>
      <c r="C949" s="2" t="s">
        <v>3069</v>
      </c>
      <c r="D949" s="3">
        <v>0</v>
      </c>
      <c r="E949" s="3">
        <v>0</v>
      </c>
      <c r="F949" s="3">
        <v>0</v>
      </c>
      <c r="G949" s="3">
        <v>0</v>
      </c>
      <c r="H949" s="342">
        <v>0</v>
      </c>
      <c r="I949" s="335"/>
    </row>
    <row r="950" spans="1:9" x14ac:dyDescent="0.25">
      <c r="A950" s="341" t="s">
        <v>3070</v>
      </c>
      <c r="B950" s="335"/>
      <c r="C950" s="2" t="s">
        <v>3071</v>
      </c>
      <c r="D950" s="3">
        <v>198015.1</v>
      </c>
      <c r="E950" s="3">
        <v>96675.62</v>
      </c>
      <c r="F950" s="3">
        <v>38717.1</v>
      </c>
      <c r="G950" s="3">
        <v>97271.94</v>
      </c>
      <c r="H950" s="342">
        <v>0</v>
      </c>
      <c r="I950" s="335"/>
    </row>
    <row r="951" spans="1:9" x14ac:dyDescent="0.25">
      <c r="A951" s="341" t="s">
        <v>3072</v>
      </c>
      <c r="B951" s="335"/>
      <c r="C951" s="2" t="s">
        <v>3073</v>
      </c>
      <c r="D951" s="3">
        <v>48250</v>
      </c>
      <c r="E951" s="3">
        <v>76500</v>
      </c>
      <c r="F951" s="3">
        <v>84000</v>
      </c>
      <c r="G951" s="3">
        <v>45500</v>
      </c>
      <c r="H951" s="342">
        <v>0</v>
      </c>
      <c r="I951" s="335"/>
    </row>
    <row r="952" spans="1:9" x14ac:dyDescent="0.25">
      <c r="A952" s="341" t="s">
        <v>3074</v>
      </c>
      <c r="B952" s="335"/>
      <c r="C952" s="2" t="s">
        <v>2584</v>
      </c>
      <c r="D952" s="3">
        <v>10228.86</v>
      </c>
      <c r="E952" s="3">
        <v>2532.08</v>
      </c>
      <c r="F952" s="3">
        <v>791.09</v>
      </c>
      <c r="G952" s="3">
        <v>3797.13</v>
      </c>
      <c r="H952" s="342">
        <v>0</v>
      </c>
      <c r="I952" s="335"/>
    </row>
    <row r="953" spans="1:9" x14ac:dyDescent="0.25">
      <c r="A953" s="341" t="s">
        <v>3075</v>
      </c>
      <c r="B953" s="335"/>
      <c r="C953" s="2" t="s">
        <v>2930</v>
      </c>
      <c r="D953" s="3">
        <v>0</v>
      </c>
      <c r="E953" s="3">
        <v>0</v>
      </c>
      <c r="F953" s="3">
        <v>132</v>
      </c>
      <c r="G953" s="3">
        <v>178.02</v>
      </c>
      <c r="H953" s="342">
        <v>0</v>
      </c>
      <c r="I953" s="335"/>
    </row>
    <row r="954" spans="1:9" x14ac:dyDescent="0.25">
      <c r="A954" s="341" t="s">
        <v>3076</v>
      </c>
      <c r="B954" s="335"/>
      <c r="C954" s="2" t="s">
        <v>2934</v>
      </c>
      <c r="D954" s="3">
        <v>0</v>
      </c>
      <c r="E954" s="3">
        <v>0</v>
      </c>
      <c r="F954" s="3">
        <v>0</v>
      </c>
      <c r="G954" s="3">
        <v>2340.2199999999998</v>
      </c>
      <c r="H954" s="342">
        <v>0</v>
      </c>
      <c r="I954" s="335"/>
    </row>
    <row r="955" spans="1:9" x14ac:dyDescent="0.25">
      <c r="A955" s="341" t="s">
        <v>3077</v>
      </c>
      <c r="B955" s="335"/>
      <c r="C955" s="2" t="s">
        <v>2409</v>
      </c>
      <c r="D955" s="3">
        <v>10690.69</v>
      </c>
      <c r="E955" s="3">
        <v>3584.37</v>
      </c>
      <c r="F955" s="3">
        <v>867.63</v>
      </c>
      <c r="G955" s="3">
        <v>3405.29</v>
      </c>
      <c r="H955" s="342">
        <v>0</v>
      </c>
      <c r="I955" s="335"/>
    </row>
    <row r="956" spans="1:9" x14ac:dyDescent="0.25">
      <c r="A956" s="341" t="s">
        <v>3078</v>
      </c>
      <c r="B956" s="335"/>
      <c r="C956" s="2" t="s">
        <v>2703</v>
      </c>
      <c r="D956" s="3">
        <v>0</v>
      </c>
      <c r="E956" s="3">
        <v>0</v>
      </c>
      <c r="F956" s="3">
        <v>0</v>
      </c>
      <c r="G956" s="3">
        <v>0</v>
      </c>
      <c r="H956" s="342">
        <v>0</v>
      </c>
      <c r="I956" s="335"/>
    </row>
    <row r="957" spans="1:9" x14ac:dyDescent="0.25">
      <c r="A957" s="341" t="s">
        <v>3079</v>
      </c>
      <c r="B957" s="335"/>
      <c r="C957" s="2" t="s">
        <v>2938</v>
      </c>
      <c r="D957" s="3">
        <v>30.49</v>
      </c>
      <c r="E957" s="3">
        <v>15.59</v>
      </c>
      <c r="F957" s="3">
        <v>1.77</v>
      </c>
      <c r="G957" s="3">
        <v>0.28000000000000003</v>
      </c>
      <c r="H957" s="342">
        <v>0</v>
      </c>
      <c r="I957" s="335"/>
    </row>
    <row r="958" spans="1:9" x14ac:dyDescent="0.25">
      <c r="A958" s="341" t="s">
        <v>3340</v>
      </c>
      <c r="B958" s="335"/>
      <c r="C958" s="2" t="s">
        <v>3339</v>
      </c>
      <c r="D958" s="3">
        <v>0</v>
      </c>
      <c r="E958" s="3">
        <v>0</v>
      </c>
      <c r="F958" s="3">
        <v>0</v>
      </c>
      <c r="G958" s="3">
        <v>0</v>
      </c>
      <c r="H958" s="342">
        <v>0</v>
      </c>
      <c r="I958" s="335"/>
    </row>
    <row r="959" spans="1:9" x14ac:dyDescent="0.25">
      <c r="A959" s="341" t="s">
        <v>3080</v>
      </c>
      <c r="B959" s="335"/>
      <c r="C959" s="2" t="s">
        <v>2942</v>
      </c>
      <c r="D959" s="3">
        <v>0</v>
      </c>
      <c r="E959" s="3">
        <v>50.45</v>
      </c>
      <c r="F959" s="3">
        <v>0</v>
      </c>
      <c r="G959" s="3">
        <v>0</v>
      </c>
      <c r="H959" s="342">
        <v>0</v>
      </c>
      <c r="I959" s="335"/>
    </row>
    <row r="960" spans="1:9" x14ac:dyDescent="0.25">
      <c r="A960" s="341" t="s">
        <v>3081</v>
      </c>
      <c r="B960" s="335"/>
      <c r="C960" s="2" t="s">
        <v>3082</v>
      </c>
      <c r="D960" s="3">
        <v>0</v>
      </c>
      <c r="E960" s="3">
        <v>0</v>
      </c>
      <c r="F960" s="3">
        <v>0</v>
      </c>
      <c r="G960" s="3">
        <v>0</v>
      </c>
      <c r="H960" s="342">
        <v>0</v>
      </c>
      <c r="I960" s="335"/>
    </row>
    <row r="961" spans="1:9" x14ac:dyDescent="0.25">
      <c r="A961" s="341" t="s">
        <v>3083</v>
      </c>
      <c r="B961" s="335"/>
      <c r="C961" s="2" t="s">
        <v>2539</v>
      </c>
      <c r="D961" s="3">
        <v>0</v>
      </c>
      <c r="E961" s="3">
        <v>0</v>
      </c>
      <c r="F961" s="3">
        <v>0</v>
      </c>
      <c r="G961" s="3">
        <v>0</v>
      </c>
      <c r="H961" s="342">
        <v>0</v>
      </c>
      <c r="I961" s="335"/>
    </row>
    <row r="962" spans="1:9" x14ac:dyDescent="0.25">
      <c r="A962" s="341" t="s">
        <v>3084</v>
      </c>
      <c r="B962" s="335"/>
      <c r="C962" s="2" t="s">
        <v>2961</v>
      </c>
      <c r="D962" s="3">
        <v>0</v>
      </c>
      <c r="E962" s="3">
        <v>0</v>
      </c>
      <c r="F962" s="3">
        <v>0</v>
      </c>
      <c r="G962" s="3">
        <v>0</v>
      </c>
      <c r="H962" s="342">
        <v>0</v>
      </c>
      <c r="I962" s="335"/>
    </row>
    <row r="963" spans="1:9" x14ac:dyDescent="0.25">
      <c r="A963" s="341" t="s">
        <v>3085</v>
      </c>
      <c r="B963" s="335"/>
      <c r="C963" s="2" t="s">
        <v>2965</v>
      </c>
      <c r="D963" s="3">
        <v>0</v>
      </c>
      <c r="E963" s="3">
        <v>0</v>
      </c>
      <c r="F963" s="3">
        <v>0</v>
      </c>
      <c r="G963" s="3">
        <v>0</v>
      </c>
      <c r="H963" s="342">
        <v>0</v>
      </c>
      <c r="I963" s="335"/>
    </row>
    <row r="964" spans="1:9" x14ac:dyDescent="0.25">
      <c r="A964" s="341" t="s">
        <v>3086</v>
      </c>
      <c r="B964" s="335"/>
      <c r="C964" s="2" t="s">
        <v>3087</v>
      </c>
      <c r="D964" s="3">
        <v>0</v>
      </c>
      <c r="E964" s="3">
        <v>0</v>
      </c>
      <c r="F964" s="3">
        <v>0</v>
      </c>
      <c r="G964" s="3">
        <v>0</v>
      </c>
      <c r="H964" s="342">
        <v>0</v>
      </c>
      <c r="I964" s="335"/>
    </row>
    <row r="965" spans="1:9" x14ac:dyDescent="0.25">
      <c r="A965" s="340" t="s">
        <v>1827</v>
      </c>
      <c r="B965" s="335"/>
      <c r="C965" s="1" t="s">
        <v>2</v>
      </c>
      <c r="D965" s="4">
        <v>1726474.19</v>
      </c>
      <c r="E965" s="4">
        <v>1624633.58</v>
      </c>
      <c r="F965" s="4">
        <v>1802659.18</v>
      </c>
      <c r="G965" s="49">
        <v>2541420.34</v>
      </c>
      <c r="H965" s="343">
        <v>0</v>
      </c>
      <c r="I965" s="335"/>
    </row>
    <row r="966" spans="1:9" x14ac:dyDescent="0.25">
      <c r="A966" s="340" t="s">
        <v>2</v>
      </c>
      <c r="B966" s="335"/>
      <c r="C966" s="1" t="s">
        <v>2</v>
      </c>
      <c r="D966" s="1" t="s">
        <v>2</v>
      </c>
      <c r="E966" s="1" t="s">
        <v>2</v>
      </c>
      <c r="F966" s="1" t="s">
        <v>2</v>
      </c>
      <c r="G966" s="1" t="s">
        <v>2</v>
      </c>
      <c r="H966" s="340" t="s">
        <v>2</v>
      </c>
      <c r="I966" s="335"/>
    </row>
    <row r="967" spans="1:9" x14ac:dyDescent="0.25">
      <c r="A967" s="340" t="s">
        <v>1828</v>
      </c>
      <c r="B967" s="335"/>
      <c r="C967" s="1" t="s">
        <v>2</v>
      </c>
    </row>
    <row r="968" spans="1:9" x14ac:dyDescent="0.25">
      <c r="A968" s="341" t="s">
        <v>3090</v>
      </c>
      <c r="B968" s="335"/>
      <c r="C968" s="2" t="s">
        <v>2409</v>
      </c>
      <c r="D968" s="3">
        <v>0</v>
      </c>
      <c r="E968" s="3">
        <v>0</v>
      </c>
      <c r="F968" s="3">
        <v>0</v>
      </c>
      <c r="G968" s="3">
        <v>0</v>
      </c>
      <c r="H968" s="342">
        <v>0</v>
      </c>
      <c r="I968" s="335"/>
    </row>
    <row r="969" spans="1:9" x14ac:dyDescent="0.25">
      <c r="A969" s="341" t="s">
        <v>3091</v>
      </c>
      <c r="B969" s="335"/>
      <c r="C969" s="2" t="s">
        <v>2703</v>
      </c>
      <c r="D969" s="3">
        <v>0</v>
      </c>
      <c r="E969" s="3">
        <v>0</v>
      </c>
      <c r="F969" s="3">
        <v>0</v>
      </c>
      <c r="G969" s="3">
        <v>0</v>
      </c>
      <c r="H969" s="342">
        <v>0</v>
      </c>
      <c r="I969" s="335"/>
    </row>
    <row r="970" spans="1:9" x14ac:dyDescent="0.25">
      <c r="A970" s="341" t="s">
        <v>3092</v>
      </c>
      <c r="B970" s="335"/>
      <c r="C970" s="2" t="s">
        <v>3023</v>
      </c>
      <c r="D970" s="3">
        <v>13935.36</v>
      </c>
      <c r="E970" s="3">
        <v>13922.7</v>
      </c>
      <c r="F970" s="3">
        <v>13909.32</v>
      </c>
      <c r="G970" s="3">
        <v>9841.9699999999993</v>
      </c>
      <c r="H970" s="342">
        <v>0</v>
      </c>
      <c r="I970" s="335"/>
    </row>
    <row r="971" spans="1:9" x14ac:dyDescent="0.25">
      <c r="A971" s="341" t="s">
        <v>3093</v>
      </c>
      <c r="B971" s="335"/>
      <c r="C971" s="2" t="s">
        <v>3094</v>
      </c>
      <c r="D971" s="3">
        <v>51724.52</v>
      </c>
      <c r="E971" s="3">
        <v>51322.59</v>
      </c>
      <c r="F971" s="3">
        <v>67041.02</v>
      </c>
      <c r="G971" s="3">
        <v>38950.54</v>
      </c>
      <c r="H971" s="342">
        <v>0</v>
      </c>
      <c r="I971" s="335"/>
    </row>
    <row r="972" spans="1:9" x14ac:dyDescent="0.25">
      <c r="A972" s="341" t="s">
        <v>3095</v>
      </c>
      <c r="B972" s="335"/>
      <c r="C972" s="2" t="s">
        <v>3096</v>
      </c>
      <c r="D972" s="3">
        <v>97979.72</v>
      </c>
      <c r="E972" s="3">
        <v>90342.59</v>
      </c>
      <c r="F972" s="3">
        <v>87829.77</v>
      </c>
      <c r="G972" s="3">
        <v>152681.89000000001</v>
      </c>
      <c r="H972" s="342">
        <v>0</v>
      </c>
      <c r="I972" s="335"/>
    </row>
    <row r="973" spans="1:9" ht="24" x14ac:dyDescent="0.25">
      <c r="A973" s="341" t="s">
        <v>3097</v>
      </c>
      <c r="B973" s="335"/>
      <c r="C973" s="2" t="s">
        <v>3098</v>
      </c>
      <c r="D973" s="3">
        <v>20322.400000000001</v>
      </c>
      <c r="E973" s="3">
        <v>20303.93</v>
      </c>
      <c r="F973" s="3">
        <v>20284.43</v>
      </c>
      <c r="G973" s="3">
        <v>14352.87</v>
      </c>
      <c r="H973" s="342">
        <v>0</v>
      </c>
      <c r="I973" s="335"/>
    </row>
    <row r="974" spans="1:9" x14ac:dyDescent="0.25">
      <c r="A974" s="341" t="s">
        <v>3099</v>
      </c>
      <c r="B974" s="335"/>
      <c r="C974" s="2" t="s">
        <v>3100</v>
      </c>
      <c r="D974" s="3">
        <v>0</v>
      </c>
      <c r="E974" s="3">
        <v>0</v>
      </c>
      <c r="F974" s="3">
        <v>0</v>
      </c>
      <c r="G974" s="3">
        <v>0</v>
      </c>
      <c r="H974" s="342">
        <v>0</v>
      </c>
      <c r="I974" s="335"/>
    </row>
    <row r="975" spans="1:9" x14ac:dyDescent="0.25">
      <c r="A975" s="341" t="s">
        <v>3101</v>
      </c>
      <c r="B975" s="335"/>
      <c r="C975" s="2" t="s">
        <v>3102</v>
      </c>
      <c r="D975" s="3">
        <v>0</v>
      </c>
      <c r="E975" s="3">
        <v>0</v>
      </c>
      <c r="F975" s="3">
        <v>0</v>
      </c>
      <c r="G975" s="3">
        <v>0</v>
      </c>
      <c r="H975" s="342">
        <v>0</v>
      </c>
      <c r="I975" s="335"/>
    </row>
    <row r="976" spans="1:9" x14ac:dyDescent="0.25">
      <c r="A976" s="340" t="s">
        <v>1845</v>
      </c>
      <c r="B976" s="335"/>
      <c r="C976" s="1" t="s">
        <v>2</v>
      </c>
      <c r="D976" s="4">
        <v>183962</v>
      </c>
      <c r="E976" s="4">
        <v>175891.81</v>
      </c>
      <c r="F976" s="4">
        <v>189064.54</v>
      </c>
      <c r="G976" s="49">
        <v>215827.27</v>
      </c>
      <c r="H976" s="343">
        <v>0</v>
      </c>
      <c r="I976" s="335"/>
    </row>
    <row r="977" spans="1:9" x14ac:dyDescent="0.25">
      <c r="A977" s="340" t="s">
        <v>2</v>
      </c>
      <c r="B977" s="335"/>
      <c r="C977" s="1" t="s">
        <v>2</v>
      </c>
      <c r="D977" s="1" t="s">
        <v>2</v>
      </c>
      <c r="E977" s="1" t="s">
        <v>2</v>
      </c>
      <c r="F977" s="1" t="s">
        <v>2</v>
      </c>
      <c r="G977" s="1" t="s">
        <v>2</v>
      </c>
      <c r="H977" s="340" t="s">
        <v>2</v>
      </c>
      <c r="I977" s="335"/>
    </row>
    <row r="978" spans="1:9" x14ac:dyDescent="0.25">
      <c r="A978" s="340" t="s">
        <v>1846</v>
      </c>
      <c r="B978" s="335"/>
      <c r="C978" s="1" t="s">
        <v>2</v>
      </c>
    </row>
    <row r="979" spans="1:9" x14ac:dyDescent="0.25">
      <c r="A979" s="341" t="s">
        <v>3105</v>
      </c>
      <c r="B979" s="335"/>
      <c r="C979" s="2" t="s">
        <v>2409</v>
      </c>
      <c r="D979" s="3">
        <v>0</v>
      </c>
      <c r="E979" s="3">
        <v>0</v>
      </c>
      <c r="F979" s="3">
        <v>0</v>
      </c>
      <c r="G979" s="3">
        <v>0</v>
      </c>
      <c r="H979" s="342">
        <v>0</v>
      </c>
      <c r="I979" s="335"/>
    </row>
    <row r="980" spans="1:9" ht="24" x14ac:dyDescent="0.25">
      <c r="A980" s="341" t="s">
        <v>3106</v>
      </c>
      <c r="B980" s="335"/>
      <c r="C980" s="2" t="s">
        <v>3107</v>
      </c>
      <c r="D980" s="3">
        <v>61836.3</v>
      </c>
      <c r="E980" s="3">
        <v>54269.27</v>
      </c>
      <c r="F980" s="3">
        <v>55367.41</v>
      </c>
      <c r="G980" s="3">
        <v>34547.120000000003</v>
      </c>
      <c r="H980" s="342">
        <v>0</v>
      </c>
      <c r="I980" s="335"/>
    </row>
    <row r="981" spans="1:9" x14ac:dyDescent="0.25">
      <c r="A981" s="341" t="s">
        <v>3108</v>
      </c>
      <c r="B981" s="335"/>
      <c r="C981" s="2" t="s">
        <v>3109</v>
      </c>
      <c r="D981" s="3">
        <v>0</v>
      </c>
      <c r="E981" s="3">
        <v>0</v>
      </c>
      <c r="F981" s="3">
        <v>0</v>
      </c>
      <c r="G981" s="3">
        <v>0</v>
      </c>
      <c r="H981" s="342">
        <v>0</v>
      </c>
      <c r="I981" s="335"/>
    </row>
    <row r="982" spans="1:9" x14ac:dyDescent="0.25">
      <c r="A982" s="340" t="s">
        <v>1853</v>
      </c>
      <c r="B982" s="335"/>
      <c r="C982" s="1" t="s">
        <v>2</v>
      </c>
      <c r="D982" s="4">
        <v>61836.3</v>
      </c>
      <c r="E982" s="4">
        <v>54269.27</v>
      </c>
      <c r="F982" s="4">
        <v>55367.41</v>
      </c>
      <c r="G982" s="49">
        <v>34547.120000000003</v>
      </c>
      <c r="H982" s="343">
        <v>0</v>
      </c>
      <c r="I982" s="335"/>
    </row>
    <row r="983" spans="1:9" x14ac:dyDescent="0.25">
      <c r="A983" s="340" t="s">
        <v>2</v>
      </c>
      <c r="B983" s="335"/>
      <c r="C983" s="1" t="s">
        <v>2</v>
      </c>
      <c r="D983" s="1" t="s">
        <v>2</v>
      </c>
      <c r="E983" s="1" t="s">
        <v>2</v>
      </c>
      <c r="F983" s="1" t="s">
        <v>2</v>
      </c>
      <c r="G983" s="1" t="s">
        <v>2</v>
      </c>
      <c r="H983" s="340" t="s">
        <v>2</v>
      </c>
      <c r="I983" s="335"/>
    </row>
    <row r="984" spans="1:9" x14ac:dyDescent="0.25">
      <c r="A984" s="340" t="s">
        <v>1854</v>
      </c>
      <c r="B984" s="335"/>
      <c r="C984" s="1" t="s">
        <v>2</v>
      </c>
    </row>
    <row r="985" spans="1:9" x14ac:dyDescent="0.25">
      <c r="A985" s="341" t="s">
        <v>3112</v>
      </c>
      <c r="B985" s="335"/>
      <c r="C985" s="2" t="s">
        <v>3113</v>
      </c>
      <c r="D985" s="3">
        <v>0</v>
      </c>
      <c r="E985" s="3">
        <v>3695000</v>
      </c>
      <c r="F985" s="3">
        <v>0</v>
      </c>
      <c r="G985" s="3">
        <v>0</v>
      </c>
      <c r="H985" s="342">
        <v>0</v>
      </c>
      <c r="I985" s="335"/>
    </row>
    <row r="986" spans="1:9" x14ac:dyDescent="0.25">
      <c r="A986" s="341" t="s">
        <v>3114</v>
      </c>
      <c r="B986" s="335"/>
      <c r="C986" s="2" t="s">
        <v>3115</v>
      </c>
      <c r="D986" s="3">
        <v>0</v>
      </c>
      <c r="E986" s="3">
        <v>0</v>
      </c>
      <c r="F986" s="3">
        <v>0</v>
      </c>
      <c r="G986" s="3">
        <v>0</v>
      </c>
      <c r="H986" s="342">
        <v>0</v>
      </c>
      <c r="I986" s="335"/>
    </row>
    <row r="987" spans="1:9" x14ac:dyDescent="0.25">
      <c r="A987" s="340" t="s">
        <v>1859</v>
      </c>
      <c r="B987" s="335"/>
      <c r="C987" s="1" t="s">
        <v>2</v>
      </c>
      <c r="D987" s="4">
        <v>0</v>
      </c>
      <c r="E987" s="4">
        <v>3695000</v>
      </c>
      <c r="F987" s="4">
        <v>0</v>
      </c>
      <c r="G987" s="49">
        <v>0</v>
      </c>
      <c r="H987" s="343">
        <v>0</v>
      </c>
      <c r="I987" s="335"/>
    </row>
    <row r="988" spans="1:9" x14ac:dyDescent="0.25">
      <c r="A988" s="340" t="s">
        <v>2</v>
      </c>
      <c r="B988" s="335"/>
      <c r="C988" s="1" t="s">
        <v>2</v>
      </c>
      <c r="D988" s="1" t="s">
        <v>2</v>
      </c>
      <c r="E988" s="1" t="s">
        <v>2</v>
      </c>
      <c r="F988" s="1" t="s">
        <v>2</v>
      </c>
      <c r="G988" s="1" t="s">
        <v>2</v>
      </c>
      <c r="H988" s="340" t="s">
        <v>2</v>
      </c>
      <c r="I988" s="335"/>
    </row>
    <row r="989" spans="1:9" x14ac:dyDescent="0.25">
      <c r="A989" s="340" t="s">
        <v>1860</v>
      </c>
      <c r="B989" s="335"/>
      <c r="C989" s="1" t="s">
        <v>2</v>
      </c>
    </row>
    <row r="990" spans="1:9" x14ac:dyDescent="0.25">
      <c r="A990" s="341" t="s">
        <v>3118</v>
      </c>
      <c r="B990" s="335"/>
      <c r="C990" s="2" t="s">
        <v>3119</v>
      </c>
      <c r="D990" s="3">
        <v>0</v>
      </c>
      <c r="E990" s="3">
        <v>1642500</v>
      </c>
      <c r="F990" s="3">
        <v>0</v>
      </c>
      <c r="G990" s="3">
        <v>0</v>
      </c>
      <c r="H990" s="342">
        <v>0</v>
      </c>
      <c r="I990" s="335"/>
    </row>
    <row r="991" spans="1:9" ht="24" x14ac:dyDescent="0.25">
      <c r="A991" s="341" t="s">
        <v>3120</v>
      </c>
      <c r="B991" s="335"/>
      <c r="C991" s="2" t="s">
        <v>3121</v>
      </c>
      <c r="D991" s="3">
        <v>0</v>
      </c>
      <c r="E991" s="3">
        <v>0</v>
      </c>
      <c r="F991" s="3">
        <v>0</v>
      </c>
      <c r="G991" s="3">
        <v>0</v>
      </c>
      <c r="H991" s="342">
        <v>0</v>
      </c>
      <c r="I991" s="335"/>
    </row>
    <row r="992" spans="1:9" x14ac:dyDescent="0.25">
      <c r="A992" s="340" t="s">
        <v>1865</v>
      </c>
      <c r="B992" s="335"/>
      <c r="C992" s="1" t="s">
        <v>2</v>
      </c>
      <c r="D992" s="4">
        <v>0</v>
      </c>
      <c r="E992" s="4">
        <v>1642500</v>
      </c>
      <c r="F992" s="4">
        <v>0</v>
      </c>
      <c r="G992" s="49">
        <v>0</v>
      </c>
      <c r="H992" s="343">
        <v>0</v>
      </c>
      <c r="I992" s="335"/>
    </row>
    <row r="993" spans="1:9" x14ac:dyDescent="0.25">
      <c r="A993" s="340" t="s">
        <v>2</v>
      </c>
      <c r="B993" s="335"/>
      <c r="C993" s="1" t="s">
        <v>2</v>
      </c>
      <c r="D993" s="1" t="s">
        <v>2</v>
      </c>
      <c r="E993" s="1" t="s">
        <v>2</v>
      </c>
      <c r="F993" s="1" t="s">
        <v>2</v>
      </c>
      <c r="G993" s="1" t="s">
        <v>2</v>
      </c>
      <c r="H993" s="340" t="s">
        <v>2</v>
      </c>
      <c r="I993" s="335"/>
    </row>
    <row r="994" spans="1:9" x14ac:dyDescent="0.25">
      <c r="A994" s="340" t="s">
        <v>1866</v>
      </c>
      <c r="B994" s="335"/>
      <c r="C994" s="1" t="s">
        <v>2</v>
      </c>
    </row>
    <row r="995" spans="1:9" x14ac:dyDescent="0.25">
      <c r="A995" s="341" t="s">
        <v>3124</v>
      </c>
      <c r="B995" s="335"/>
      <c r="C995" s="2" t="s">
        <v>3125</v>
      </c>
      <c r="D995" s="3">
        <v>0</v>
      </c>
      <c r="E995" s="3">
        <v>92786.58</v>
      </c>
      <c r="F995" s="3">
        <v>876177.06</v>
      </c>
      <c r="G995" s="3">
        <v>31036.36</v>
      </c>
      <c r="H995" s="342">
        <v>0</v>
      </c>
      <c r="I995" s="335"/>
    </row>
    <row r="996" spans="1:9" x14ac:dyDescent="0.25">
      <c r="A996" s="341" t="s">
        <v>3126</v>
      </c>
      <c r="B996" s="335"/>
      <c r="C996" s="2" t="s">
        <v>3127</v>
      </c>
      <c r="D996" s="3">
        <v>0</v>
      </c>
      <c r="E996" s="3">
        <v>200000</v>
      </c>
      <c r="F996" s="3">
        <v>1100000</v>
      </c>
      <c r="G996" s="3">
        <v>0</v>
      </c>
      <c r="H996" s="342">
        <v>0</v>
      </c>
      <c r="I996" s="335"/>
    </row>
    <row r="997" spans="1:9" x14ac:dyDescent="0.25">
      <c r="A997" s="341" t="s">
        <v>3128</v>
      </c>
      <c r="B997" s="335"/>
      <c r="C997" s="2" t="s">
        <v>3129</v>
      </c>
      <c r="D997" s="3">
        <v>0</v>
      </c>
      <c r="E997" s="3">
        <v>18717739.109999999</v>
      </c>
      <c r="F997" s="3">
        <v>11163088.470000001</v>
      </c>
      <c r="G997" s="3">
        <v>1804384.84</v>
      </c>
      <c r="H997" s="342">
        <v>0</v>
      </c>
      <c r="I997" s="335"/>
    </row>
    <row r="998" spans="1:9" x14ac:dyDescent="0.25">
      <c r="A998" s="341" t="s">
        <v>3130</v>
      </c>
      <c r="B998" s="335"/>
      <c r="C998" s="2" t="s">
        <v>3131</v>
      </c>
      <c r="D998" s="3">
        <v>0</v>
      </c>
      <c r="E998" s="3">
        <v>0</v>
      </c>
      <c r="F998" s="3">
        <v>0</v>
      </c>
      <c r="G998" s="3">
        <v>0</v>
      </c>
      <c r="H998" s="342">
        <v>0</v>
      </c>
      <c r="I998" s="335"/>
    </row>
    <row r="999" spans="1:9" x14ac:dyDescent="0.25">
      <c r="A999" s="340" t="s">
        <v>1877</v>
      </c>
      <c r="B999" s="335"/>
      <c r="C999" s="1" t="s">
        <v>2</v>
      </c>
      <c r="D999" s="4">
        <v>0</v>
      </c>
      <c r="E999" s="4">
        <v>19010525.690000001</v>
      </c>
      <c r="F999" s="4">
        <v>13139265.529999999</v>
      </c>
      <c r="G999" s="49">
        <v>1835421.2</v>
      </c>
      <c r="H999" s="343">
        <v>0</v>
      </c>
      <c r="I999" s="335"/>
    </row>
    <row r="1000" spans="1:9" x14ac:dyDescent="0.25">
      <c r="A1000" s="340" t="s">
        <v>2</v>
      </c>
      <c r="B1000" s="335"/>
      <c r="C1000" s="1" t="s">
        <v>2</v>
      </c>
      <c r="D1000" s="1" t="s">
        <v>2</v>
      </c>
      <c r="E1000" s="1" t="s">
        <v>2</v>
      </c>
      <c r="F1000" s="1" t="s">
        <v>2</v>
      </c>
      <c r="G1000" s="1" t="s">
        <v>2</v>
      </c>
      <c r="H1000" s="340" t="s">
        <v>2</v>
      </c>
      <c r="I1000" s="335"/>
    </row>
    <row r="1001" spans="1:9" x14ac:dyDescent="0.25">
      <c r="A1001" s="340" t="s">
        <v>41</v>
      </c>
      <c r="B1001" s="335"/>
      <c r="C1001" s="1" t="s">
        <v>2</v>
      </c>
    </row>
    <row r="1002" spans="1:9" ht="24" x14ac:dyDescent="0.25">
      <c r="A1002" s="341" t="s">
        <v>3134</v>
      </c>
      <c r="B1002" s="335"/>
      <c r="C1002" s="2" t="s">
        <v>2608</v>
      </c>
      <c r="D1002" s="3">
        <v>0</v>
      </c>
      <c r="E1002" s="3">
        <v>77526.91</v>
      </c>
      <c r="F1002" s="3">
        <v>0</v>
      </c>
      <c r="G1002" s="3">
        <v>0</v>
      </c>
      <c r="H1002" s="342">
        <v>0</v>
      </c>
      <c r="I1002" s="335"/>
    </row>
    <row r="1003" spans="1:9" x14ac:dyDescent="0.25">
      <c r="A1003" s="341" t="s">
        <v>3135</v>
      </c>
      <c r="B1003" s="335"/>
      <c r="C1003" s="2" t="s">
        <v>3136</v>
      </c>
      <c r="D1003" s="3">
        <v>0</v>
      </c>
      <c r="E1003" s="3">
        <v>0</v>
      </c>
      <c r="F1003" s="3">
        <v>2977.29</v>
      </c>
      <c r="G1003" s="3">
        <v>0</v>
      </c>
      <c r="H1003" s="342">
        <v>0</v>
      </c>
      <c r="I1003" s="335"/>
    </row>
    <row r="1004" spans="1:9" x14ac:dyDescent="0.25">
      <c r="A1004" s="341" t="s">
        <v>3137</v>
      </c>
      <c r="B1004" s="335"/>
      <c r="C1004" s="2" t="s">
        <v>3138</v>
      </c>
      <c r="D1004" s="3">
        <v>247482.17</v>
      </c>
      <c r="E1004" s="3">
        <v>223423.62</v>
      </c>
      <c r="F1004" s="3">
        <v>270248.07</v>
      </c>
      <c r="G1004" s="3">
        <v>223423.62</v>
      </c>
      <c r="H1004" s="342">
        <v>0</v>
      </c>
      <c r="I1004" s="335"/>
    </row>
    <row r="1005" spans="1:9" x14ac:dyDescent="0.25">
      <c r="A1005" s="341" t="s">
        <v>3139</v>
      </c>
      <c r="B1005" s="335"/>
      <c r="C1005" s="2" t="s">
        <v>2409</v>
      </c>
      <c r="D1005" s="3">
        <v>0</v>
      </c>
      <c r="E1005" s="3">
        <v>0</v>
      </c>
      <c r="F1005" s="3">
        <v>0</v>
      </c>
      <c r="G1005" s="3">
        <v>0</v>
      </c>
      <c r="H1005" s="342">
        <v>0</v>
      </c>
      <c r="I1005" s="335"/>
    </row>
    <row r="1006" spans="1:9" x14ac:dyDescent="0.25">
      <c r="A1006" s="341" t="s">
        <v>3141</v>
      </c>
      <c r="B1006" s="335"/>
      <c r="C1006" s="2" t="s">
        <v>3138</v>
      </c>
      <c r="D1006" s="3">
        <v>0</v>
      </c>
      <c r="E1006" s="3">
        <v>0</v>
      </c>
      <c r="F1006" s="3">
        <v>0</v>
      </c>
      <c r="G1006" s="3">
        <v>0</v>
      </c>
      <c r="H1006" s="342">
        <v>0</v>
      </c>
      <c r="I1006" s="335"/>
    </row>
    <row r="1007" spans="1:9" x14ac:dyDescent="0.25">
      <c r="A1007" s="341" t="s">
        <v>3143</v>
      </c>
      <c r="B1007" s="335"/>
      <c r="C1007" s="2" t="s">
        <v>3144</v>
      </c>
      <c r="D1007" s="3">
        <v>100000</v>
      </c>
      <c r="E1007" s="3">
        <v>0</v>
      </c>
      <c r="F1007" s="3">
        <v>0</v>
      </c>
      <c r="G1007" s="3">
        <v>0</v>
      </c>
      <c r="H1007" s="342">
        <v>0</v>
      </c>
      <c r="I1007" s="335"/>
    </row>
    <row r="1008" spans="1:9" x14ac:dyDescent="0.25">
      <c r="A1008" s="341" t="s">
        <v>3145</v>
      </c>
      <c r="B1008" s="335"/>
      <c r="C1008" s="2" t="s">
        <v>3146</v>
      </c>
      <c r="D1008" s="3">
        <v>0</v>
      </c>
      <c r="E1008" s="3">
        <v>0</v>
      </c>
      <c r="F1008" s="3">
        <v>0</v>
      </c>
      <c r="G1008" s="3">
        <v>0</v>
      </c>
      <c r="H1008" s="342">
        <v>0</v>
      </c>
      <c r="I1008" s="335"/>
    </row>
    <row r="1009" spans="1:9" x14ac:dyDescent="0.25">
      <c r="A1009" s="340" t="s">
        <v>1897</v>
      </c>
      <c r="B1009" s="335"/>
      <c r="C1009" s="1" t="s">
        <v>2</v>
      </c>
      <c r="D1009" s="4">
        <v>347482.17</v>
      </c>
      <c r="E1009" s="4">
        <v>300950.53000000003</v>
      </c>
      <c r="F1009" s="4">
        <v>273225.36</v>
      </c>
      <c r="G1009" s="49">
        <v>223423.62</v>
      </c>
      <c r="H1009" s="343">
        <v>0</v>
      </c>
      <c r="I1009" s="335"/>
    </row>
    <row r="1010" spans="1:9" x14ac:dyDescent="0.25">
      <c r="A1010" s="340" t="s">
        <v>2</v>
      </c>
      <c r="B1010" s="335"/>
      <c r="C1010" s="1" t="s">
        <v>2</v>
      </c>
      <c r="D1010" s="1" t="s">
        <v>2</v>
      </c>
      <c r="E1010" s="1" t="s">
        <v>2</v>
      </c>
      <c r="F1010" s="1" t="s">
        <v>2</v>
      </c>
      <c r="G1010" s="1" t="s">
        <v>2</v>
      </c>
      <c r="H1010" s="340" t="s">
        <v>2</v>
      </c>
      <c r="I1010" s="335"/>
    </row>
    <row r="1011" spans="1:9" x14ac:dyDescent="0.25">
      <c r="A1011" s="340" t="s">
        <v>1898</v>
      </c>
      <c r="B1011" s="335"/>
      <c r="C1011" s="1" t="s">
        <v>2</v>
      </c>
    </row>
    <row r="1012" spans="1:9" ht="24" x14ac:dyDescent="0.25">
      <c r="A1012" s="341" t="s">
        <v>3149</v>
      </c>
      <c r="B1012" s="335"/>
      <c r="C1012" s="2" t="s">
        <v>2608</v>
      </c>
      <c r="D1012" s="3">
        <v>0</v>
      </c>
      <c r="E1012" s="3">
        <v>1040.76</v>
      </c>
      <c r="F1012" s="3">
        <v>0</v>
      </c>
      <c r="G1012" s="3">
        <v>0</v>
      </c>
      <c r="H1012" s="342">
        <v>0</v>
      </c>
      <c r="I1012" s="335"/>
    </row>
    <row r="1013" spans="1:9" x14ac:dyDescent="0.25">
      <c r="A1013" s="341" t="s">
        <v>3150</v>
      </c>
      <c r="B1013" s="335"/>
      <c r="C1013" s="2" t="s">
        <v>2123</v>
      </c>
      <c r="D1013" s="3">
        <v>0</v>
      </c>
      <c r="E1013" s="3">
        <v>0</v>
      </c>
      <c r="F1013" s="3">
        <v>196.49</v>
      </c>
      <c r="G1013" s="3">
        <v>0</v>
      </c>
      <c r="H1013" s="342">
        <v>0</v>
      </c>
      <c r="I1013" s="335"/>
    </row>
    <row r="1014" spans="1:9" x14ac:dyDescent="0.25">
      <c r="A1014" s="341" t="s">
        <v>3151</v>
      </c>
      <c r="B1014" s="335"/>
      <c r="C1014" s="2" t="s">
        <v>3152</v>
      </c>
      <c r="D1014" s="3">
        <v>517517</v>
      </c>
      <c r="E1014" s="3">
        <v>517517</v>
      </c>
      <c r="F1014" s="3">
        <v>717045.31</v>
      </c>
      <c r="G1014" s="3">
        <v>627809.46</v>
      </c>
      <c r="H1014" s="342">
        <v>0</v>
      </c>
      <c r="I1014" s="335"/>
    </row>
    <row r="1015" spans="1:9" x14ac:dyDescent="0.25">
      <c r="A1015" s="341" t="s">
        <v>3153</v>
      </c>
      <c r="B1015" s="335"/>
      <c r="C1015" s="2" t="s">
        <v>2409</v>
      </c>
      <c r="D1015" s="3">
        <v>842.67</v>
      </c>
      <c r="E1015" s="3">
        <v>235.76</v>
      </c>
      <c r="F1015" s="3">
        <v>39.229999999999997</v>
      </c>
      <c r="G1015" s="3">
        <v>80.650000000000006</v>
      </c>
      <c r="H1015" s="342">
        <v>0</v>
      </c>
      <c r="I1015" s="335"/>
    </row>
    <row r="1016" spans="1:9" x14ac:dyDescent="0.25">
      <c r="A1016" s="341" t="s">
        <v>3154</v>
      </c>
      <c r="B1016" s="335"/>
      <c r="C1016" s="2" t="s">
        <v>2703</v>
      </c>
      <c r="D1016" s="3">
        <v>0</v>
      </c>
      <c r="E1016" s="3">
        <v>0</v>
      </c>
      <c r="F1016" s="3">
        <v>0</v>
      </c>
      <c r="G1016" s="3">
        <v>0</v>
      </c>
      <c r="H1016" s="342">
        <v>0</v>
      </c>
      <c r="I1016" s="335"/>
    </row>
    <row r="1017" spans="1:9" x14ac:dyDescent="0.25">
      <c r="A1017" s="341" t="s">
        <v>3338</v>
      </c>
      <c r="B1017" s="335"/>
      <c r="C1017" s="2" t="s">
        <v>3152</v>
      </c>
      <c r="D1017" s="3">
        <v>87833.99</v>
      </c>
      <c r="E1017" s="3">
        <v>37771.97</v>
      </c>
      <c r="F1017" s="3">
        <v>0</v>
      </c>
      <c r="G1017" s="3">
        <v>0</v>
      </c>
      <c r="H1017" s="342">
        <v>0</v>
      </c>
      <c r="I1017" s="335"/>
    </row>
    <row r="1018" spans="1:9" x14ac:dyDescent="0.25">
      <c r="A1018" s="341" t="s">
        <v>3155</v>
      </c>
      <c r="B1018" s="335"/>
      <c r="C1018" s="2" t="s">
        <v>3156</v>
      </c>
      <c r="D1018" s="3">
        <v>5575</v>
      </c>
      <c r="E1018" s="3">
        <v>13232</v>
      </c>
      <c r="F1018" s="3">
        <v>20229</v>
      </c>
      <c r="G1018" s="3">
        <v>36543</v>
      </c>
      <c r="H1018" s="342">
        <v>0</v>
      </c>
      <c r="I1018" s="335"/>
    </row>
    <row r="1019" spans="1:9" x14ac:dyDescent="0.25">
      <c r="A1019" s="341" t="s">
        <v>3157</v>
      </c>
      <c r="B1019" s="335"/>
      <c r="C1019" s="2" t="s">
        <v>3158</v>
      </c>
      <c r="D1019" s="3">
        <v>0</v>
      </c>
      <c r="E1019" s="3">
        <v>0</v>
      </c>
      <c r="F1019" s="3">
        <v>1142.8399999999999</v>
      </c>
      <c r="G1019" s="3">
        <v>0</v>
      </c>
      <c r="H1019" s="342">
        <v>0</v>
      </c>
      <c r="I1019" s="335"/>
    </row>
    <row r="1020" spans="1:9" ht="24" x14ac:dyDescent="0.25">
      <c r="A1020" s="341" t="s">
        <v>3159</v>
      </c>
      <c r="B1020" s="335"/>
      <c r="C1020" s="2" t="s">
        <v>3160</v>
      </c>
      <c r="D1020" s="3">
        <v>0</v>
      </c>
      <c r="E1020" s="3">
        <v>0</v>
      </c>
      <c r="F1020" s="3">
        <v>0</v>
      </c>
      <c r="G1020" s="3">
        <v>0</v>
      </c>
      <c r="H1020" s="342">
        <v>0</v>
      </c>
      <c r="I1020" s="335"/>
    </row>
    <row r="1021" spans="1:9" ht="24" x14ac:dyDescent="0.25">
      <c r="A1021" s="341" t="s">
        <v>3161</v>
      </c>
      <c r="B1021" s="335"/>
      <c r="C1021" s="2" t="s">
        <v>3162</v>
      </c>
      <c r="D1021" s="3">
        <v>0</v>
      </c>
      <c r="E1021" s="3">
        <v>0</v>
      </c>
      <c r="F1021" s="3">
        <v>0</v>
      </c>
      <c r="G1021" s="3">
        <v>0</v>
      </c>
      <c r="H1021" s="342">
        <v>0</v>
      </c>
      <c r="I1021" s="335"/>
    </row>
    <row r="1022" spans="1:9" x14ac:dyDescent="0.25">
      <c r="A1022" s="341" t="s">
        <v>3163</v>
      </c>
      <c r="B1022" s="335"/>
      <c r="C1022" s="2" t="s">
        <v>3013</v>
      </c>
      <c r="D1022" s="3">
        <v>0</v>
      </c>
      <c r="E1022" s="3">
        <v>0</v>
      </c>
      <c r="F1022" s="3">
        <v>17935.5</v>
      </c>
      <c r="G1022" s="3">
        <v>0</v>
      </c>
      <c r="H1022" s="342">
        <v>0</v>
      </c>
      <c r="I1022" s="335"/>
    </row>
    <row r="1023" spans="1:9" x14ac:dyDescent="0.25">
      <c r="A1023" s="341" t="s">
        <v>3164</v>
      </c>
      <c r="B1023" s="335"/>
      <c r="C1023" s="2" t="s">
        <v>2669</v>
      </c>
      <c r="D1023" s="3">
        <v>42790.8</v>
      </c>
      <c r="E1023" s="3">
        <v>0</v>
      </c>
      <c r="F1023" s="3">
        <v>1582.21</v>
      </c>
      <c r="G1023" s="3">
        <v>16540.57</v>
      </c>
      <c r="H1023" s="342">
        <v>0</v>
      </c>
      <c r="I1023" s="335"/>
    </row>
    <row r="1024" spans="1:9" x14ac:dyDescent="0.25">
      <c r="A1024" s="341" t="s">
        <v>3166</v>
      </c>
      <c r="B1024" s="335"/>
      <c r="C1024" s="2" t="s">
        <v>3167</v>
      </c>
      <c r="D1024" s="3">
        <v>0</v>
      </c>
      <c r="E1024" s="3">
        <v>150990.49</v>
      </c>
      <c r="F1024" s="3">
        <v>74253.83</v>
      </c>
      <c r="G1024" s="3">
        <v>0</v>
      </c>
      <c r="H1024" s="342">
        <v>0</v>
      </c>
      <c r="I1024" s="335"/>
    </row>
    <row r="1025" spans="1:9" x14ac:dyDescent="0.25">
      <c r="A1025" s="341" t="s">
        <v>3168</v>
      </c>
      <c r="B1025" s="335"/>
      <c r="C1025" s="2" t="s">
        <v>3169</v>
      </c>
      <c r="D1025" s="3">
        <v>110000</v>
      </c>
      <c r="E1025" s="3">
        <v>54320.5</v>
      </c>
      <c r="F1025" s="3">
        <v>126350.08</v>
      </c>
      <c r="G1025" s="3">
        <v>0</v>
      </c>
      <c r="H1025" s="342">
        <v>0</v>
      </c>
      <c r="I1025" s="335"/>
    </row>
    <row r="1026" spans="1:9" x14ac:dyDescent="0.25">
      <c r="A1026" s="341" t="s">
        <v>3170</v>
      </c>
      <c r="B1026" s="335"/>
      <c r="C1026" s="2" t="s">
        <v>3171</v>
      </c>
      <c r="D1026" s="3">
        <v>22500</v>
      </c>
      <c r="E1026" s="3">
        <v>63515.26</v>
      </c>
      <c r="F1026" s="3">
        <v>67717.850000000006</v>
      </c>
      <c r="G1026" s="3">
        <v>0</v>
      </c>
      <c r="H1026" s="342">
        <v>0</v>
      </c>
      <c r="I1026" s="335"/>
    </row>
    <row r="1027" spans="1:9" x14ac:dyDescent="0.25">
      <c r="A1027" s="341" t="s">
        <v>3172</v>
      </c>
      <c r="B1027" s="335"/>
      <c r="C1027" s="2" t="s">
        <v>3173</v>
      </c>
      <c r="D1027" s="3">
        <v>0</v>
      </c>
      <c r="E1027" s="3">
        <v>54320.5</v>
      </c>
      <c r="F1027" s="3">
        <v>108359.54</v>
      </c>
      <c r="G1027" s="3">
        <v>0</v>
      </c>
      <c r="H1027" s="342">
        <v>0</v>
      </c>
      <c r="I1027" s="335"/>
    </row>
    <row r="1028" spans="1:9" x14ac:dyDescent="0.25">
      <c r="A1028" s="341" t="s">
        <v>3174</v>
      </c>
      <c r="B1028" s="335"/>
      <c r="C1028" s="2" t="s">
        <v>3175</v>
      </c>
      <c r="D1028" s="3">
        <v>117500</v>
      </c>
      <c r="E1028" s="3">
        <v>45125.74</v>
      </c>
      <c r="F1028" s="3">
        <v>166991.78</v>
      </c>
      <c r="G1028" s="3">
        <v>0</v>
      </c>
      <c r="H1028" s="342">
        <v>0</v>
      </c>
      <c r="I1028" s="335"/>
    </row>
    <row r="1029" spans="1:9" x14ac:dyDescent="0.25">
      <c r="A1029" s="341" t="s">
        <v>3176</v>
      </c>
      <c r="B1029" s="335"/>
      <c r="C1029" s="2" t="s">
        <v>3177</v>
      </c>
      <c r="D1029" s="3">
        <v>0</v>
      </c>
      <c r="E1029" s="3">
        <v>0</v>
      </c>
      <c r="F1029" s="3">
        <v>0</v>
      </c>
      <c r="G1029" s="3">
        <v>0</v>
      </c>
      <c r="H1029" s="342">
        <v>0</v>
      </c>
      <c r="I1029" s="335"/>
    </row>
    <row r="1030" spans="1:9" x14ac:dyDescent="0.25">
      <c r="A1030" s="341" t="s">
        <v>3178</v>
      </c>
      <c r="B1030" s="335"/>
      <c r="C1030" s="2" t="s">
        <v>3179</v>
      </c>
      <c r="D1030" s="3">
        <v>0</v>
      </c>
      <c r="E1030" s="3">
        <v>0</v>
      </c>
      <c r="F1030" s="3">
        <v>0</v>
      </c>
      <c r="G1030" s="3">
        <v>0</v>
      </c>
      <c r="H1030" s="342">
        <v>0</v>
      </c>
      <c r="I1030" s="335"/>
    </row>
    <row r="1031" spans="1:9" x14ac:dyDescent="0.25">
      <c r="A1031" s="340" t="s">
        <v>1999</v>
      </c>
      <c r="B1031" s="335"/>
      <c r="C1031" s="1" t="s">
        <v>2</v>
      </c>
      <c r="D1031" s="4">
        <v>904559.46</v>
      </c>
      <c r="E1031" s="4">
        <v>938069.98</v>
      </c>
      <c r="F1031" s="4">
        <v>1301843.6599999999</v>
      </c>
      <c r="G1031" s="49">
        <v>680973.68</v>
      </c>
      <c r="H1031" s="343">
        <v>0</v>
      </c>
      <c r="I1031" s="335"/>
    </row>
    <row r="1032" spans="1:9" x14ac:dyDescent="0.25">
      <c r="A1032" s="340" t="s">
        <v>2</v>
      </c>
      <c r="B1032" s="335"/>
      <c r="C1032" s="1" t="s">
        <v>2</v>
      </c>
      <c r="D1032" s="1" t="s">
        <v>2</v>
      </c>
      <c r="E1032" s="1" t="s">
        <v>2</v>
      </c>
      <c r="F1032" s="1" t="s">
        <v>2</v>
      </c>
      <c r="G1032" s="1" t="s">
        <v>2</v>
      </c>
      <c r="H1032" s="340" t="s">
        <v>2</v>
      </c>
      <c r="I1032" s="335"/>
    </row>
    <row r="1033" spans="1:9" x14ac:dyDescent="0.25">
      <c r="A1033" s="340" t="s">
        <v>2000</v>
      </c>
      <c r="B1033" s="335"/>
      <c r="C1033" s="1" t="s">
        <v>2</v>
      </c>
    </row>
    <row r="1034" spans="1:9" x14ac:dyDescent="0.25">
      <c r="A1034" s="341" t="s">
        <v>3182</v>
      </c>
      <c r="B1034" s="335"/>
      <c r="C1034" s="2" t="s">
        <v>3183</v>
      </c>
      <c r="D1034" s="3">
        <v>3651.24</v>
      </c>
      <c r="E1034" s="3">
        <v>2322.2199999999998</v>
      </c>
      <c r="F1034" s="3">
        <v>2066.08</v>
      </c>
      <c r="G1034" s="3">
        <v>1010.3</v>
      </c>
      <c r="H1034" s="342">
        <v>0</v>
      </c>
      <c r="I1034" s="335"/>
    </row>
    <row r="1035" spans="1:9" x14ac:dyDescent="0.25">
      <c r="A1035" s="341" t="s">
        <v>3184</v>
      </c>
      <c r="B1035" s="335"/>
      <c r="C1035" s="2" t="s">
        <v>704</v>
      </c>
      <c r="D1035" s="3">
        <v>-6.11</v>
      </c>
      <c r="E1035" s="3">
        <v>0</v>
      </c>
      <c r="F1035" s="3">
        <v>0</v>
      </c>
      <c r="G1035" s="3">
        <v>0</v>
      </c>
      <c r="H1035" s="342">
        <v>0</v>
      </c>
      <c r="I1035" s="335"/>
    </row>
    <row r="1036" spans="1:9" x14ac:dyDescent="0.25">
      <c r="A1036" s="341" t="s">
        <v>3185</v>
      </c>
      <c r="B1036" s="335"/>
      <c r="C1036" s="2" t="s">
        <v>3186</v>
      </c>
      <c r="D1036" s="3">
        <v>227683.12</v>
      </c>
      <c r="E1036" s="3">
        <v>142915.35</v>
      </c>
      <c r="F1036" s="3">
        <v>120358.47</v>
      </c>
      <c r="G1036" s="3">
        <v>51663.39</v>
      </c>
      <c r="H1036" s="342">
        <v>0</v>
      </c>
      <c r="I1036" s="335"/>
    </row>
    <row r="1037" spans="1:9" x14ac:dyDescent="0.25">
      <c r="A1037" s="341" t="s">
        <v>3187</v>
      </c>
      <c r="B1037" s="335"/>
      <c r="C1037" s="2" t="s">
        <v>3188</v>
      </c>
      <c r="D1037" s="3">
        <v>0</v>
      </c>
      <c r="E1037" s="3">
        <v>3127</v>
      </c>
      <c r="F1037" s="3">
        <v>3320</v>
      </c>
      <c r="G1037" s="3">
        <v>1957.5</v>
      </c>
      <c r="H1037" s="342">
        <v>0</v>
      </c>
      <c r="I1037" s="335"/>
    </row>
    <row r="1038" spans="1:9" x14ac:dyDescent="0.25">
      <c r="A1038" s="341" t="s">
        <v>3189</v>
      </c>
      <c r="B1038" s="335"/>
      <c r="C1038" s="2" t="s">
        <v>2007</v>
      </c>
      <c r="D1038" s="3">
        <v>0</v>
      </c>
      <c r="E1038" s="3">
        <v>3784</v>
      </c>
      <c r="F1038" s="3">
        <v>4948</v>
      </c>
      <c r="G1038" s="3">
        <v>4162</v>
      </c>
      <c r="H1038" s="342">
        <v>0</v>
      </c>
      <c r="I1038" s="335"/>
    </row>
    <row r="1039" spans="1:9" x14ac:dyDescent="0.25">
      <c r="A1039" s="341" t="s">
        <v>3190</v>
      </c>
      <c r="B1039" s="335"/>
      <c r="C1039" s="2" t="s">
        <v>2009</v>
      </c>
      <c r="D1039" s="3">
        <v>0</v>
      </c>
      <c r="E1039" s="3">
        <v>1442.25</v>
      </c>
      <c r="F1039" s="3">
        <v>1828.5</v>
      </c>
      <c r="G1039" s="3">
        <v>1523.75</v>
      </c>
      <c r="H1039" s="342">
        <v>0</v>
      </c>
      <c r="I1039" s="335"/>
    </row>
    <row r="1040" spans="1:9" x14ac:dyDescent="0.25">
      <c r="A1040" s="340" t="s">
        <v>2014</v>
      </c>
      <c r="B1040" s="335"/>
      <c r="C1040" s="1" t="s">
        <v>2</v>
      </c>
      <c r="D1040" s="4">
        <v>231328.25</v>
      </c>
      <c r="E1040" s="4">
        <v>153590.82</v>
      </c>
      <c r="F1040" s="4">
        <v>132521.04999999999</v>
      </c>
      <c r="G1040" s="49">
        <v>60316.94</v>
      </c>
      <c r="H1040" s="343">
        <v>0</v>
      </c>
      <c r="I1040" s="335"/>
    </row>
    <row r="1041" spans="1:9" x14ac:dyDescent="0.25">
      <c r="A1041" s="340" t="s">
        <v>2</v>
      </c>
      <c r="B1041" s="335"/>
      <c r="C1041" s="1" t="s">
        <v>2</v>
      </c>
      <c r="D1041" s="1" t="s">
        <v>2</v>
      </c>
      <c r="E1041" s="1" t="s">
        <v>2</v>
      </c>
      <c r="F1041" s="1" t="s">
        <v>2</v>
      </c>
      <c r="G1041" s="1" t="s">
        <v>2</v>
      </c>
      <c r="H1041" s="340" t="s">
        <v>2</v>
      </c>
      <c r="I1041" s="335"/>
    </row>
    <row r="1042" spans="1:9" x14ac:dyDescent="0.25">
      <c r="A1042" s="340" t="s">
        <v>2015</v>
      </c>
      <c r="B1042" s="335"/>
      <c r="C1042" s="1" t="s">
        <v>2</v>
      </c>
    </row>
    <row r="1043" spans="1:9" x14ac:dyDescent="0.25">
      <c r="A1043" s="341" t="s">
        <v>3193</v>
      </c>
      <c r="B1043" s="335"/>
      <c r="C1043" s="2" t="s">
        <v>3194</v>
      </c>
      <c r="D1043" s="3">
        <v>21530.37</v>
      </c>
      <c r="E1043" s="3">
        <v>13613.92</v>
      </c>
      <c r="F1043" s="3">
        <v>8953.64</v>
      </c>
      <c r="G1043" s="3">
        <v>396.38</v>
      </c>
      <c r="H1043" s="342">
        <v>0</v>
      </c>
      <c r="I1043" s="335"/>
    </row>
    <row r="1044" spans="1:9" x14ac:dyDescent="0.25">
      <c r="A1044" s="340" t="s">
        <v>2018</v>
      </c>
      <c r="B1044" s="335"/>
      <c r="C1044" s="1" t="s">
        <v>2</v>
      </c>
      <c r="D1044" s="4">
        <v>21530.37</v>
      </c>
      <c r="E1044" s="4">
        <v>13613.92</v>
      </c>
      <c r="F1044" s="4">
        <v>8953.64</v>
      </c>
      <c r="G1044" s="4">
        <v>396.38</v>
      </c>
      <c r="H1044" s="343">
        <v>0</v>
      </c>
      <c r="I1044" s="335"/>
    </row>
    <row r="1045" spans="1:9" x14ac:dyDescent="0.25">
      <c r="A1045" s="340" t="s">
        <v>2</v>
      </c>
      <c r="B1045" s="335"/>
      <c r="C1045" s="1" t="s">
        <v>2</v>
      </c>
      <c r="D1045" s="1" t="s">
        <v>2</v>
      </c>
      <c r="E1045" s="1" t="s">
        <v>2</v>
      </c>
      <c r="F1045" s="1" t="s">
        <v>2</v>
      </c>
      <c r="G1045" s="1" t="s">
        <v>2</v>
      </c>
      <c r="H1045" s="340" t="s">
        <v>2</v>
      </c>
      <c r="I1045" s="335"/>
    </row>
    <row r="1046" spans="1:9" x14ac:dyDescent="0.25">
      <c r="A1046" s="341" t="s">
        <v>2</v>
      </c>
      <c r="B1046" s="335"/>
      <c r="C1046" s="2" t="s">
        <v>2</v>
      </c>
      <c r="D1046" s="2" t="s">
        <v>2</v>
      </c>
      <c r="E1046" s="2" t="s">
        <v>2</v>
      </c>
      <c r="F1046" s="2" t="s">
        <v>2</v>
      </c>
      <c r="G1046" s="2" t="s">
        <v>2</v>
      </c>
      <c r="H1046" s="341" t="s">
        <v>2</v>
      </c>
      <c r="I1046" s="335"/>
    </row>
    <row r="1047" spans="1:9" x14ac:dyDescent="0.25">
      <c r="A1047" s="340" t="s">
        <v>3208</v>
      </c>
      <c r="B1047" s="335"/>
      <c r="C1047" s="1" t="s">
        <v>2</v>
      </c>
      <c r="D1047" s="4">
        <v>34871397.409999996</v>
      </c>
      <c r="E1047" s="4">
        <v>74863693.819999993</v>
      </c>
      <c r="F1047" s="4">
        <v>59601885.990000002</v>
      </c>
      <c r="G1047" s="4">
        <v>36292210.07</v>
      </c>
      <c r="H1047" s="343">
        <v>0</v>
      </c>
      <c r="I1047" s="335"/>
    </row>
    <row r="1048" spans="1:9" x14ac:dyDescent="0.25">
      <c r="A1048" s="340" t="s">
        <v>2</v>
      </c>
      <c r="B1048" s="335"/>
      <c r="C1048" s="1" t="s">
        <v>2</v>
      </c>
      <c r="D1048" s="1" t="s">
        <v>2</v>
      </c>
      <c r="E1048" s="1" t="s">
        <v>2</v>
      </c>
      <c r="F1048" s="1" t="s">
        <v>2</v>
      </c>
      <c r="G1048" s="1" t="s">
        <v>2</v>
      </c>
      <c r="H1048" s="340" t="s">
        <v>2</v>
      </c>
      <c r="I1048" s="335"/>
    </row>
    <row r="1049" spans="1:9" x14ac:dyDescent="0.25">
      <c r="A1049" s="340" t="s">
        <v>2</v>
      </c>
      <c r="B1049" s="335"/>
      <c r="C1049" s="1" t="s">
        <v>2</v>
      </c>
      <c r="D1049" s="1" t="s">
        <v>2</v>
      </c>
      <c r="E1049" s="1" t="s">
        <v>2</v>
      </c>
      <c r="F1049" s="1" t="s">
        <v>2</v>
      </c>
      <c r="G1049" s="1" t="s">
        <v>2</v>
      </c>
      <c r="H1049" s="340" t="s">
        <v>2</v>
      </c>
      <c r="I1049" s="335"/>
    </row>
    <row r="1050" spans="1:9" x14ac:dyDescent="0.25">
      <c r="A1050" s="340" t="s">
        <v>2</v>
      </c>
      <c r="B1050" s="335"/>
      <c r="C1050" s="1" t="s">
        <v>2</v>
      </c>
      <c r="D1050" s="1" t="s">
        <v>2</v>
      </c>
      <c r="E1050" s="1" t="s">
        <v>2</v>
      </c>
      <c r="F1050" s="1" t="s">
        <v>2</v>
      </c>
      <c r="G1050" s="1" t="s">
        <v>2</v>
      </c>
      <c r="H1050" s="340" t="s">
        <v>2</v>
      </c>
      <c r="I1050" s="335"/>
    </row>
  </sheetData>
  <mergeCells count="1938">
    <mergeCell ref="A1042:B1042"/>
    <mergeCell ref="A1043:B1043"/>
    <mergeCell ref="H1043:I1043"/>
    <mergeCell ref="A1044:B1044"/>
    <mergeCell ref="H1044:I1044"/>
    <mergeCell ref="A1045:B1045"/>
    <mergeCell ref="H1045:I1045"/>
    <mergeCell ref="A1049:B1049"/>
    <mergeCell ref="H1049:I1049"/>
    <mergeCell ref="A1050:B1050"/>
    <mergeCell ref="H1050:I1050"/>
    <mergeCell ref="A1046:B1046"/>
    <mergeCell ref="H1046:I1046"/>
    <mergeCell ref="A1047:B1047"/>
    <mergeCell ref="H1047:I1047"/>
    <mergeCell ref="A1048:B1048"/>
    <mergeCell ref="H1048:I1048"/>
    <mergeCell ref="A1033:B1033"/>
    <mergeCell ref="A1034:B1034"/>
    <mergeCell ref="H1034:I1034"/>
    <mergeCell ref="A1035:B1035"/>
    <mergeCell ref="H1035:I1035"/>
    <mergeCell ref="A1036:B1036"/>
    <mergeCell ref="H1036:I1036"/>
    <mergeCell ref="A1037:B1037"/>
    <mergeCell ref="H1037:I1037"/>
    <mergeCell ref="A1038:B1038"/>
    <mergeCell ref="H1038:I1038"/>
    <mergeCell ref="A1039:B1039"/>
    <mergeCell ref="H1039:I1039"/>
    <mergeCell ref="A1040:B1040"/>
    <mergeCell ref="H1040:I1040"/>
    <mergeCell ref="A1041:B1041"/>
    <mergeCell ref="H1041:I1041"/>
    <mergeCell ref="A1024:B1024"/>
    <mergeCell ref="H1024:I1024"/>
    <mergeCell ref="A1025:B1025"/>
    <mergeCell ref="H1025:I1025"/>
    <mergeCell ref="A1026:B1026"/>
    <mergeCell ref="H1026:I1026"/>
    <mergeCell ref="A1027:B1027"/>
    <mergeCell ref="H1027:I1027"/>
    <mergeCell ref="A1028:B1028"/>
    <mergeCell ref="H1028:I1028"/>
    <mergeCell ref="A1029:B1029"/>
    <mergeCell ref="H1029:I1029"/>
    <mergeCell ref="A1030:B1030"/>
    <mergeCell ref="H1030:I1030"/>
    <mergeCell ref="A1031:B1031"/>
    <mergeCell ref="H1031:I1031"/>
    <mergeCell ref="A1032:B1032"/>
    <mergeCell ref="H1032:I1032"/>
    <mergeCell ref="A1015:B1015"/>
    <mergeCell ref="H1015:I1015"/>
    <mergeCell ref="A1016:B1016"/>
    <mergeCell ref="H1016:I1016"/>
    <mergeCell ref="A1017:B1017"/>
    <mergeCell ref="H1017:I1017"/>
    <mergeCell ref="A1018:B1018"/>
    <mergeCell ref="H1018:I1018"/>
    <mergeCell ref="A1019:B1019"/>
    <mergeCell ref="H1019:I1019"/>
    <mergeCell ref="A1020:B1020"/>
    <mergeCell ref="H1020:I1020"/>
    <mergeCell ref="A1021:B1021"/>
    <mergeCell ref="H1021:I1021"/>
    <mergeCell ref="A1022:B1022"/>
    <mergeCell ref="H1022:I1022"/>
    <mergeCell ref="A1023:B1023"/>
    <mergeCell ref="H1023:I1023"/>
    <mergeCell ref="A1006:B1006"/>
    <mergeCell ref="H1006:I1006"/>
    <mergeCell ref="A1007:B1007"/>
    <mergeCell ref="H1007:I1007"/>
    <mergeCell ref="A1008:B1008"/>
    <mergeCell ref="H1008:I1008"/>
    <mergeCell ref="A1009:B1009"/>
    <mergeCell ref="H1009:I1009"/>
    <mergeCell ref="A1010:B1010"/>
    <mergeCell ref="H1010:I1010"/>
    <mergeCell ref="A1011:B1011"/>
    <mergeCell ref="A1012:B1012"/>
    <mergeCell ref="H1012:I1012"/>
    <mergeCell ref="A1013:B1013"/>
    <mergeCell ref="H1013:I1013"/>
    <mergeCell ref="A1014:B1014"/>
    <mergeCell ref="H1014:I1014"/>
    <mergeCell ref="A997:B997"/>
    <mergeCell ref="H997:I997"/>
    <mergeCell ref="A998:B998"/>
    <mergeCell ref="H998:I998"/>
    <mergeCell ref="A999:B999"/>
    <mergeCell ref="H999:I999"/>
    <mergeCell ref="A1000:B1000"/>
    <mergeCell ref="H1000:I1000"/>
    <mergeCell ref="A1001:B1001"/>
    <mergeCell ref="A1002:B1002"/>
    <mergeCell ref="H1002:I1002"/>
    <mergeCell ref="A1003:B1003"/>
    <mergeCell ref="H1003:I1003"/>
    <mergeCell ref="A1004:B1004"/>
    <mergeCell ref="H1004:I1004"/>
    <mergeCell ref="A1005:B1005"/>
    <mergeCell ref="H1005:I1005"/>
    <mergeCell ref="A987:B987"/>
    <mergeCell ref="H987:I987"/>
    <mergeCell ref="A988:B988"/>
    <mergeCell ref="H988:I988"/>
    <mergeCell ref="A989:B989"/>
    <mergeCell ref="A990:B990"/>
    <mergeCell ref="H990:I990"/>
    <mergeCell ref="A991:B991"/>
    <mergeCell ref="H991:I991"/>
    <mergeCell ref="A992:B992"/>
    <mergeCell ref="H992:I992"/>
    <mergeCell ref="A993:B993"/>
    <mergeCell ref="H993:I993"/>
    <mergeCell ref="A994:B994"/>
    <mergeCell ref="A995:B995"/>
    <mergeCell ref="H995:I995"/>
    <mergeCell ref="A996:B996"/>
    <mergeCell ref="H996:I996"/>
    <mergeCell ref="A977:B977"/>
    <mergeCell ref="H977:I977"/>
    <mergeCell ref="A978:B978"/>
    <mergeCell ref="A979:B979"/>
    <mergeCell ref="H979:I979"/>
    <mergeCell ref="A980:B980"/>
    <mergeCell ref="H980:I980"/>
    <mergeCell ref="A981:B981"/>
    <mergeCell ref="H981:I981"/>
    <mergeCell ref="A982:B982"/>
    <mergeCell ref="H982:I982"/>
    <mergeCell ref="A983:B983"/>
    <mergeCell ref="H983:I983"/>
    <mergeCell ref="A984:B984"/>
    <mergeCell ref="A985:B985"/>
    <mergeCell ref="H985:I985"/>
    <mergeCell ref="A986:B986"/>
    <mergeCell ref="H986:I986"/>
    <mergeCell ref="A968:B968"/>
    <mergeCell ref="H968:I968"/>
    <mergeCell ref="A969:B969"/>
    <mergeCell ref="H969:I969"/>
    <mergeCell ref="A970:B970"/>
    <mergeCell ref="H970:I970"/>
    <mergeCell ref="A971:B971"/>
    <mergeCell ref="H971:I971"/>
    <mergeCell ref="A972:B972"/>
    <mergeCell ref="H972:I972"/>
    <mergeCell ref="A973:B973"/>
    <mergeCell ref="H973:I973"/>
    <mergeCell ref="A974:B974"/>
    <mergeCell ref="H974:I974"/>
    <mergeCell ref="A975:B975"/>
    <mergeCell ref="H975:I975"/>
    <mergeCell ref="A976:B976"/>
    <mergeCell ref="H976:I976"/>
    <mergeCell ref="A959:B959"/>
    <mergeCell ref="H959:I959"/>
    <mergeCell ref="A960:B960"/>
    <mergeCell ref="H960:I960"/>
    <mergeCell ref="A961:B961"/>
    <mergeCell ref="H961:I961"/>
    <mergeCell ref="A962:B962"/>
    <mergeCell ref="H962:I962"/>
    <mergeCell ref="A963:B963"/>
    <mergeCell ref="H963:I963"/>
    <mergeCell ref="A964:B964"/>
    <mergeCell ref="H964:I964"/>
    <mergeCell ref="A965:B965"/>
    <mergeCell ref="H965:I965"/>
    <mergeCell ref="A966:B966"/>
    <mergeCell ref="H966:I966"/>
    <mergeCell ref="A967:B967"/>
    <mergeCell ref="A950:B950"/>
    <mergeCell ref="H950:I950"/>
    <mergeCell ref="A951:B951"/>
    <mergeCell ref="H951:I951"/>
    <mergeCell ref="A952:B952"/>
    <mergeCell ref="H952:I952"/>
    <mergeCell ref="A953:B953"/>
    <mergeCell ref="H953:I953"/>
    <mergeCell ref="A954:B954"/>
    <mergeCell ref="H954:I954"/>
    <mergeCell ref="A955:B955"/>
    <mergeCell ref="H955:I955"/>
    <mergeCell ref="A956:B956"/>
    <mergeCell ref="H956:I956"/>
    <mergeCell ref="A957:B957"/>
    <mergeCell ref="H957:I957"/>
    <mergeCell ref="A958:B958"/>
    <mergeCell ref="H958:I958"/>
    <mergeCell ref="A941:B941"/>
    <mergeCell ref="H941:I941"/>
    <mergeCell ref="A942:B942"/>
    <mergeCell ref="H942:I942"/>
    <mergeCell ref="A943:B943"/>
    <mergeCell ref="H943:I943"/>
    <mergeCell ref="A944:B944"/>
    <mergeCell ref="H944:I944"/>
    <mergeCell ref="A945:B945"/>
    <mergeCell ref="H945:I945"/>
    <mergeCell ref="A946:B946"/>
    <mergeCell ref="H946:I946"/>
    <mergeCell ref="A947:B947"/>
    <mergeCell ref="H947:I947"/>
    <mergeCell ref="A948:B948"/>
    <mergeCell ref="H948:I948"/>
    <mergeCell ref="A949:B949"/>
    <mergeCell ref="H949:I949"/>
    <mergeCell ref="A932:B932"/>
    <mergeCell ref="A933:B933"/>
    <mergeCell ref="H933:I933"/>
    <mergeCell ref="A934:B934"/>
    <mergeCell ref="H934:I934"/>
    <mergeCell ref="A935:B935"/>
    <mergeCell ref="H935:I935"/>
    <mergeCell ref="A936:B936"/>
    <mergeCell ref="H936:I936"/>
    <mergeCell ref="A937:B937"/>
    <mergeCell ref="H937:I937"/>
    <mergeCell ref="A938:B938"/>
    <mergeCell ref="H938:I938"/>
    <mergeCell ref="A939:B939"/>
    <mergeCell ref="H939:I939"/>
    <mergeCell ref="A940:B940"/>
    <mergeCell ref="H940:I940"/>
    <mergeCell ref="A922:B922"/>
    <mergeCell ref="A923:B923"/>
    <mergeCell ref="H923:I923"/>
    <mergeCell ref="A924:B924"/>
    <mergeCell ref="H924:I924"/>
    <mergeCell ref="A925:B925"/>
    <mergeCell ref="H925:I925"/>
    <mergeCell ref="A926:B926"/>
    <mergeCell ref="H926:I926"/>
    <mergeCell ref="A927:B927"/>
    <mergeCell ref="A928:B928"/>
    <mergeCell ref="H928:I928"/>
    <mergeCell ref="A929:B929"/>
    <mergeCell ref="H929:I929"/>
    <mergeCell ref="A930:B930"/>
    <mergeCell ref="H930:I930"/>
    <mergeCell ref="A931:B931"/>
    <mergeCell ref="H931:I931"/>
    <mergeCell ref="A913:B913"/>
    <mergeCell ref="A914:B914"/>
    <mergeCell ref="H914:I914"/>
    <mergeCell ref="A915:B915"/>
    <mergeCell ref="H915:I915"/>
    <mergeCell ref="A916:B916"/>
    <mergeCell ref="H916:I916"/>
    <mergeCell ref="A917:B917"/>
    <mergeCell ref="H917:I917"/>
    <mergeCell ref="A918:B918"/>
    <mergeCell ref="H918:I918"/>
    <mergeCell ref="A919:B919"/>
    <mergeCell ref="H919:I919"/>
    <mergeCell ref="A920:B920"/>
    <mergeCell ref="H920:I920"/>
    <mergeCell ref="A921:B921"/>
    <mergeCell ref="H921:I921"/>
    <mergeCell ref="A904:B904"/>
    <mergeCell ref="H904:I904"/>
    <mergeCell ref="A905:B905"/>
    <mergeCell ref="H905:I905"/>
    <mergeCell ref="A906:B906"/>
    <mergeCell ref="H906:I906"/>
    <mergeCell ref="A907:B907"/>
    <mergeCell ref="H907:I907"/>
    <mergeCell ref="A908:B908"/>
    <mergeCell ref="H908:I908"/>
    <mergeCell ref="A909:B909"/>
    <mergeCell ref="H909:I909"/>
    <mergeCell ref="A910:B910"/>
    <mergeCell ref="H910:I910"/>
    <mergeCell ref="A911:B911"/>
    <mergeCell ref="H911:I911"/>
    <mergeCell ref="A912:B912"/>
    <mergeCell ref="H912:I912"/>
    <mergeCell ref="A895:B895"/>
    <mergeCell ref="H895:I895"/>
    <mergeCell ref="A896:B896"/>
    <mergeCell ref="H896:I896"/>
    <mergeCell ref="A897:B897"/>
    <mergeCell ref="H897:I897"/>
    <mergeCell ref="A898:B898"/>
    <mergeCell ref="H898:I898"/>
    <mergeCell ref="A899:B899"/>
    <mergeCell ref="H899:I899"/>
    <mergeCell ref="A900:B900"/>
    <mergeCell ref="H900:I900"/>
    <mergeCell ref="A901:B901"/>
    <mergeCell ref="H901:I901"/>
    <mergeCell ref="A902:B902"/>
    <mergeCell ref="H902:I902"/>
    <mergeCell ref="A903:B903"/>
    <mergeCell ref="H903:I903"/>
    <mergeCell ref="A886:B886"/>
    <mergeCell ref="H886:I886"/>
    <mergeCell ref="A887:B887"/>
    <mergeCell ref="H887:I887"/>
    <mergeCell ref="A888:B888"/>
    <mergeCell ref="H888:I888"/>
    <mergeCell ref="A889:B889"/>
    <mergeCell ref="H889:I889"/>
    <mergeCell ref="A890:B890"/>
    <mergeCell ref="H890:I890"/>
    <mergeCell ref="A891:B891"/>
    <mergeCell ref="H891:I891"/>
    <mergeCell ref="A892:B892"/>
    <mergeCell ref="H892:I892"/>
    <mergeCell ref="A893:B893"/>
    <mergeCell ref="H893:I893"/>
    <mergeCell ref="A894:B894"/>
    <mergeCell ref="H894:I894"/>
    <mergeCell ref="A877:B877"/>
    <mergeCell ref="A878:B878"/>
    <mergeCell ref="H878:I878"/>
    <mergeCell ref="A879:B879"/>
    <mergeCell ref="H879:I879"/>
    <mergeCell ref="A880:B880"/>
    <mergeCell ref="H880:I880"/>
    <mergeCell ref="A881:B881"/>
    <mergeCell ref="H881:I881"/>
    <mergeCell ref="A882:B882"/>
    <mergeCell ref="H882:I882"/>
    <mergeCell ref="A883:B883"/>
    <mergeCell ref="H883:I883"/>
    <mergeCell ref="A884:B884"/>
    <mergeCell ref="H884:I884"/>
    <mergeCell ref="A885:B885"/>
    <mergeCell ref="H885:I885"/>
    <mergeCell ref="A868:B868"/>
    <mergeCell ref="H868:I868"/>
    <mergeCell ref="A869:B869"/>
    <mergeCell ref="H869:I869"/>
    <mergeCell ref="A870:B870"/>
    <mergeCell ref="H870:I870"/>
    <mergeCell ref="A871:B871"/>
    <mergeCell ref="H871:I871"/>
    <mergeCell ref="A872:B872"/>
    <mergeCell ref="H872:I872"/>
    <mergeCell ref="A873:B873"/>
    <mergeCell ref="H873:I873"/>
    <mergeCell ref="A874:B874"/>
    <mergeCell ref="H874:I874"/>
    <mergeCell ref="A875:B875"/>
    <mergeCell ref="H875:I875"/>
    <mergeCell ref="A876:B876"/>
    <mergeCell ref="H876:I876"/>
    <mergeCell ref="A859:B859"/>
    <mergeCell ref="H859:I859"/>
    <mergeCell ref="A860:B860"/>
    <mergeCell ref="H860:I860"/>
    <mergeCell ref="A861:B861"/>
    <mergeCell ref="H861:I861"/>
    <mergeCell ref="A862:B862"/>
    <mergeCell ref="H862:I862"/>
    <mergeCell ref="A863:B863"/>
    <mergeCell ref="H863:I863"/>
    <mergeCell ref="A864:B864"/>
    <mergeCell ref="H864:I864"/>
    <mergeCell ref="A865:B865"/>
    <mergeCell ref="H865:I865"/>
    <mergeCell ref="A866:B866"/>
    <mergeCell ref="H866:I866"/>
    <mergeCell ref="A867:B867"/>
    <mergeCell ref="H867:I867"/>
    <mergeCell ref="A850:B850"/>
    <mergeCell ref="H850:I850"/>
    <mergeCell ref="A851:B851"/>
    <mergeCell ref="H851:I851"/>
    <mergeCell ref="A852:B852"/>
    <mergeCell ref="H852:I852"/>
    <mergeCell ref="A853:B853"/>
    <mergeCell ref="H853:I853"/>
    <mergeCell ref="A854:B854"/>
    <mergeCell ref="H854:I854"/>
    <mergeCell ref="A855:B855"/>
    <mergeCell ref="H855:I855"/>
    <mergeCell ref="A856:B856"/>
    <mergeCell ref="H856:I856"/>
    <mergeCell ref="A857:B857"/>
    <mergeCell ref="H857:I857"/>
    <mergeCell ref="A858:B858"/>
    <mergeCell ref="H858:I858"/>
    <mergeCell ref="A841:B841"/>
    <mergeCell ref="H841:I841"/>
    <mergeCell ref="A842:B842"/>
    <mergeCell ref="H842:I842"/>
    <mergeCell ref="A843:B843"/>
    <mergeCell ref="H843:I843"/>
    <mergeCell ref="A844:B844"/>
    <mergeCell ref="H844:I844"/>
    <mergeCell ref="A845:B845"/>
    <mergeCell ref="H845:I845"/>
    <mergeCell ref="A846:B846"/>
    <mergeCell ref="H846:I846"/>
    <mergeCell ref="A847:B847"/>
    <mergeCell ref="H847:I847"/>
    <mergeCell ref="A848:B848"/>
    <mergeCell ref="H848:I848"/>
    <mergeCell ref="A849:B849"/>
    <mergeCell ref="H849:I849"/>
    <mergeCell ref="A832:B832"/>
    <mergeCell ref="H832:I832"/>
    <mergeCell ref="A833:B833"/>
    <mergeCell ref="H833:I833"/>
    <mergeCell ref="A834:B834"/>
    <mergeCell ref="H834:I834"/>
    <mergeCell ref="A835:B835"/>
    <mergeCell ref="H835:I835"/>
    <mergeCell ref="A836:B836"/>
    <mergeCell ref="H836:I836"/>
    <mergeCell ref="A837:B837"/>
    <mergeCell ref="H837:I837"/>
    <mergeCell ref="A838:B838"/>
    <mergeCell ref="H838:I838"/>
    <mergeCell ref="A839:B839"/>
    <mergeCell ref="H839:I839"/>
    <mergeCell ref="A840:B840"/>
    <mergeCell ref="H840:I840"/>
    <mergeCell ref="A823:B823"/>
    <mergeCell ref="H823:I823"/>
    <mergeCell ref="A824:B824"/>
    <mergeCell ref="H824:I824"/>
    <mergeCell ref="A825:B825"/>
    <mergeCell ref="H825:I825"/>
    <mergeCell ref="A826:B826"/>
    <mergeCell ref="H826:I826"/>
    <mergeCell ref="A827:B827"/>
    <mergeCell ref="A828:B828"/>
    <mergeCell ref="H828:I828"/>
    <mergeCell ref="A829:B829"/>
    <mergeCell ref="H829:I829"/>
    <mergeCell ref="A830:B830"/>
    <mergeCell ref="H830:I830"/>
    <mergeCell ref="A831:B831"/>
    <mergeCell ref="H831:I831"/>
    <mergeCell ref="A814:B814"/>
    <mergeCell ref="H814:I814"/>
    <mergeCell ref="A815:B815"/>
    <mergeCell ref="H815:I815"/>
    <mergeCell ref="A816:B816"/>
    <mergeCell ref="H816:I816"/>
    <mergeCell ref="A817:B817"/>
    <mergeCell ref="H817:I817"/>
    <mergeCell ref="A818:B818"/>
    <mergeCell ref="H818:I818"/>
    <mergeCell ref="A819:B819"/>
    <mergeCell ref="H819:I819"/>
    <mergeCell ref="A820:B820"/>
    <mergeCell ref="H820:I820"/>
    <mergeCell ref="A821:B821"/>
    <mergeCell ref="H821:I821"/>
    <mergeCell ref="A822:B822"/>
    <mergeCell ref="H822:I822"/>
    <mergeCell ref="A805:B805"/>
    <mergeCell ref="H805:I805"/>
    <mergeCell ref="A806:B806"/>
    <mergeCell ref="H806:I806"/>
    <mergeCell ref="A807:B807"/>
    <mergeCell ref="H807:I807"/>
    <mergeCell ref="A808:B808"/>
    <mergeCell ref="H808:I808"/>
    <mergeCell ref="A809:B809"/>
    <mergeCell ref="H809:I809"/>
    <mergeCell ref="A810:B810"/>
    <mergeCell ref="A811:B811"/>
    <mergeCell ref="H811:I811"/>
    <mergeCell ref="A812:B812"/>
    <mergeCell ref="H812:I812"/>
    <mergeCell ref="A813:B813"/>
    <mergeCell ref="H813:I813"/>
    <mergeCell ref="A796:B796"/>
    <mergeCell ref="H796:I796"/>
    <mergeCell ref="A797:B797"/>
    <mergeCell ref="H797:I797"/>
    <mergeCell ref="A798:B798"/>
    <mergeCell ref="H798:I798"/>
    <mergeCell ref="A799:B799"/>
    <mergeCell ref="H799:I799"/>
    <mergeCell ref="A800:B800"/>
    <mergeCell ref="H800:I800"/>
    <mergeCell ref="A801:B801"/>
    <mergeCell ref="H801:I801"/>
    <mergeCell ref="A802:B802"/>
    <mergeCell ref="H802:I802"/>
    <mergeCell ref="A803:B803"/>
    <mergeCell ref="H803:I803"/>
    <mergeCell ref="A804:B804"/>
    <mergeCell ref="H804:I804"/>
    <mergeCell ref="A786:B786"/>
    <mergeCell ref="A787:B787"/>
    <mergeCell ref="H787:I787"/>
    <mergeCell ref="A788:B788"/>
    <mergeCell ref="H788:I788"/>
    <mergeCell ref="A789:B789"/>
    <mergeCell ref="H789:I789"/>
    <mergeCell ref="A790:B790"/>
    <mergeCell ref="H790:I790"/>
    <mergeCell ref="A791:B791"/>
    <mergeCell ref="H791:I791"/>
    <mergeCell ref="A792:B792"/>
    <mergeCell ref="H792:I792"/>
    <mergeCell ref="A793:B793"/>
    <mergeCell ref="H793:I793"/>
    <mergeCell ref="A794:B794"/>
    <mergeCell ref="A795:B795"/>
    <mergeCell ref="A777:B777"/>
    <mergeCell ref="H777:I777"/>
    <mergeCell ref="A778:B778"/>
    <mergeCell ref="H778:I778"/>
    <mergeCell ref="A779:B779"/>
    <mergeCell ref="H779:I779"/>
    <mergeCell ref="A780:B780"/>
    <mergeCell ref="A781:B781"/>
    <mergeCell ref="H781:I781"/>
    <mergeCell ref="A782:B782"/>
    <mergeCell ref="H782:I782"/>
    <mergeCell ref="A783:B783"/>
    <mergeCell ref="H783:I783"/>
    <mergeCell ref="A784:B784"/>
    <mergeCell ref="H784:I784"/>
    <mergeCell ref="A785:B785"/>
    <mergeCell ref="H785:I785"/>
    <mergeCell ref="A767:B767"/>
    <mergeCell ref="A768:B768"/>
    <mergeCell ref="H768:I768"/>
    <mergeCell ref="A769:B769"/>
    <mergeCell ref="H769:I769"/>
    <mergeCell ref="A770:B770"/>
    <mergeCell ref="H770:I770"/>
    <mergeCell ref="A771:B771"/>
    <mergeCell ref="H771:I771"/>
    <mergeCell ref="A772:B772"/>
    <mergeCell ref="H772:I772"/>
    <mergeCell ref="A773:B773"/>
    <mergeCell ref="A774:B774"/>
    <mergeCell ref="H774:I774"/>
    <mergeCell ref="A775:B775"/>
    <mergeCell ref="H775:I775"/>
    <mergeCell ref="A776:B776"/>
    <mergeCell ref="H776:I776"/>
    <mergeCell ref="A758:B758"/>
    <mergeCell ref="H758:I758"/>
    <mergeCell ref="A759:B759"/>
    <mergeCell ref="H759:I759"/>
    <mergeCell ref="A760:B760"/>
    <mergeCell ref="H760:I760"/>
    <mergeCell ref="A761:B761"/>
    <mergeCell ref="H761:I761"/>
    <mergeCell ref="A762:B762"/>
    <mergeCell ref="H762:I762"/>
    <mergeCell ref="A763:B763"/>
    <mergeCell ref="H763:I763"/>
    <mergeCell ref="A764:B764"/>
    <mergeCell ref="H764:I764"/>
    <mergeCell ref="A765:B765"/>
    <mergeCell ref="H765:I765"/>
    <mergeCell ref="A766:B766"/>
    <mergeCell ref="H766:I766"/>
    <mergeCell ref="A748:B748"/>
    <mergeCell ref="H748:I748"/>
    <mergeCell ref="A749:B749"/>
    <mergeCell ref="H749:I749"/>
    <mergeCell ref="A750:B750"/>
    <mergeCell ref="A751:B751"/>
    <mergeCell ref="H751:I751"/>
    <mergeCell ref="A757:B757"/>
    <mergeCell ref="H757:I757"/>
    <mergeCell ref="A739:B739"/>
    <mergeCell ref="H739:I739"/>
    <mergeCell ref="A740:B740"/>
    <mergeCell ref="H740:I740"/>
    <mergeCell ref="A741:B741"/>
    <mergeCell ref="A752:B752"/>
    <mergeCell ref="H752:I752"/>
    <mergeCell ref="A753:B753"/>
    <mergeCell ref="A743:B743"/>
    <mergeCell ref="H743:I743"/>
    <mergeCell ref="A744:B744"/>
    <mergeCell ref="H744:I744"/>
    <mergeCell ref="A755:B755"/>
    <mergeCell ref="A756:B756"/>
    <mergeCell ref="H756:I756"/>
    <mergeCell ref="H753:I753"/>
    <mergeCell ref="A754:B754"/>
    <mergeCell ref="H754:I754"/>
    <mergeCell ref="A745:B745"/>
    <mergeCell ref="H745:I745"/>
    <mergeCell ref="A746:B746"/>
    <mergeCell ref="H746:I746"/>
    <mergeCell ref="A747:B747"/>
    <mergeCell ref="H747:I747"/>
    <mergeCell ref="H741:I741"/>
    <mergeCell ref="A742:B742"/>
    <mergeCell ref="H742:I742"/>
    <mergeCell ref="H731:I731"/>
    <mergeCell ref="A732:B732"/>
    <mergeCell ref="H732:I732"/>
    <mergeCell ref="A733:B733"/>
    <mergeCell ref="H733:I733"/>
    <mergeCell ref="A730:B730"/>
    <mergeCell ref="A734:B734"/>
    <mergeCell ref="A735:B735"/>
    <mergeCell ref="A736:B736"/>
    <mergeCell ref="A737:B737"/>
    <mergeCell ref="A738:B738"/>
    <mergeCell ref="A718:B718"/>
    <mergeCell ref="A722:B722"/>
    <mergeCell ref="A727:B727"/>
    <mergeCell ref="A731:B731"/>
    <mergeCell ref="H718:I718"/>
    <mergeCell ref="A719:B719"/>
    <mergeCell ref="H719:I719"/>
    <mergeCell ref="A720:B720"/>
    <mergeCell ref="H720:I720"/>
    <mergeCell ref="A721:B721"/>
    <mergeCell ref="H721:I721"/>
    <mergeCell ref="H722:I722"/>
    <mergeCell ref="A723:B723"/>
    <mergeCell ref="A724:B724"/>
    <mergeCell ref="A725:B725"/>
    <mergeCell ref="H725:I725"/>
    <mergeCell ref="A726:B726"/>
    <mergeCell ref="H726:I726"/>
    <mergeCell ref="H727:I727"/>
    <mergeCell ref="H730:I730"/>
    <mergeCell ref="A728:B728"/>
    <mergeCell ref="H728:I728"/>
    <mergeCell ref="A729:B729"/>
    <mergeCell ref="H729:I729"/>
    <mergeCell ref="A708:B708"/>
    <mergeCell ref="H708:I708"/>
    <mergeCell ref="A709:B709"/>
    <mergeCell ref="H709:I709"/>
    <mergeCell ref="A710:B710"/>
    <mergeCell ref="H710:I710"/>
    <mergeCell ref="A711:B711"/>
    <mergeCell ref="H711:I711"/>
    <mergeCell ref="A712:B712"/>
    <mergeCell ref="H712:I712"/>
    <mergeCell ref="A713:B713"/>
    <mergeCell ref="H713:I713"/>
    <mergeCell ref="A714:B714"/>
    <mergeCell ref="A715:B715"/>
    <mergeCell ref="A716:B716"/>
    <mergeCell ref="H716:I716"/>
    <mergeCell ref="A717:B717"/>
    <mergeCell ref="H717:I717"/>
    <mergeCell ref="A696:B696"/>
    <mergeCell ref="A697:B697"/>
    <mergeCell ref="A698:B698"/>
    <mergeCell ref="A699:B699"/>
    <mergeCell ref="A700:B700"/>
    <mergeCell ref="A701:B701"/>
    <mergeCell ref="H701:I701"/>
    <mergeCell ref="A702:B702"/>
    <mergeCell ref="H702:I702"/>
    <mergeCell ref="A703:B703"/>
    <mergeCell ref="H703:I703"/>
    <mergeCell ref="A704:B704"/>
    <mergeCell ref="H704:I704"/>
    <mergeCell ref="A705:B705"/>
    <mergeCell ref="A706:B706"/>
    <mergeCell ref="A707:B707"/>
    <mergeCell ref="H707:I707"/>
    <mergeCell ref="A687:B687"/>
    <mergeCell ref="H687:I687"/>
    <mergeCell ref="A688:B688"/>
    <mergeCell ref="H688:I688"/>
    <mergeCell ref="A689:B689"/>
    <mergeCell ref="H689:I689"/>
    <mergeCell ref="A690:B690"/>
    <mergeCell ref="H690:I690"/>
    <mergeCell ref="A691:B691"/>
    <mergeCell ref="H691:I691"/>
    <mergeCell ref="A692:B692"/>
    <mergeCell ref="H692:I692"/>
    <mergeCell ref="A693:B693"/>
    <mergeCell ref="H693:I693"/>
    <mergeCell ref="A694:B694"/>
    <mergeCell ref="H694:I694"/>
    <mergeCell ref="A695:B695"/>
    <mergeCell ref="H695:I695"/>
    <mergeCell ref="A678:B678"/>
    <mergeCell ref="H678:I678"/>
    <mergeCell ref="A679:B679"/>
    <mergeCell ref="H679:I679"/>
    <mergeCell ref="A680:B680"/>
    <mergeCell ref="H680:I680"/>
    <mergeCell ref="A681:B681"/>
    <mergeCell ref="H681:I681"/>
    <mergeCell ref="A682:B682"/>
    <mergeCell ref="H682:I682"/>
    <mergeCell ref="A683:B683"/>
    <mergeCell ref="H683:I683"/>
    <mergeCell ref="A684:B684"/>
    <mergeCell ref="H684:I684"/>
    <mergeCell ref="A685:B685"/>
    <mergeCell ref="H685:I685"/>
    <mergeCell ref="A686:B686"/>
    <mergeCell ref="A667:B667"/>
    <mergeCell ref="H667:I667"/>
    <mergeCell ref="A668:B668"/>
    <mergeCell ref="H668:I668"/>
    <mergeCell ref="A669:B669"/>
    <mergeCell ref="H669:I669"/>
    <mergeCell ref="A670:B670"/>
    <mergeCell ref="H670:I670"/>
    <mergeCell ref="A671:B671"/>
    <mergeCell ref="H671:I671"/>
    <mergeCell ref="A672:B672"/>
    <mergeCell ref="H672:I672"/>
    <mergeCell ref="A673:B673"/>
    <mergeCell ref="A674:B674"/>
    <mergeCell ref="A675:B675"/>
    <mergeCell ref="A676:B676"/>
    <mergeCell ref="A677:B677"/>
    <mergeCell ref="A660:B660"/>
    <mergeCell ref="A665:B665"/>
    <mergeCell ref="H656:I656"/>
    <mergeCell ref="A657:B657"/>
    <mergeCell ref="H657:I657"/>
    <mergeCell ref="A658:B658"/>
    <mergeCell ref="A659:B659"/>
    <mergeCell ref="H659:I659"/>
    <mergeCell ref="H660:I660"/>
    <mergeCell ref="A661:B661"/>
    <mergeCell ref="A662:B662"/>
    <mergeCell ref="A663:B663"/>
    <mergeCell ref="A664:B664"/>
    <mergeCell ref="H664:I664"/>
    <mergeCell ref="H665:I665"/>
    <mergeCell ref="A666:B666"/>
    <mergeCell ref="H666:I666"/>
    <mergeCell ref="A650:B650"/>
    <mergeCell ref="A640:B640"/>
    <mergeCell ref="H650:I650"/>
    <mergeCell ref="A642:B642"/>
    <mergeCell ref="H642:I642"/>
    <mergeCell ref="A643:B643"/>
    <mergeCell ref="A651:B651"/>
    <mergeCell ref="H651:I651"/>
    <mergeCell ref="A652:B652"/>
    <mergeCell ref="H652:I652"/>
    <mergeCell ref="A637:B637"/>
    <mergeCell ref="H637:I637"/>
    <mergeCell ref="A638:B638"/>
    <mergeCell ref="H638:I638"/>
    <mergeCell ref="A639:B639"/>
    <mergeCell ref="H639:I639"/>
    <mergeCell ref="A656:B656"/>
    <mergeCell ref="A654:B654"/>
    <mergeCell ref="A655:B655"/>
    <mergeCell ref="H655:I655"/>
    <mergeCell ref="A653:B653"/>
    <mergeCell ref="H653:I653"/>
    <mergeCell ref="A646:B646"/>
    <mergeCell ref="H646:I646"/>
    <mergeCell ref="A647:B647"/>
    <mergeCell ref="A648:B648"/>
    <mergeCell ref="A649:B649"/>
    <mergeCell ref="H649:I649"/>
    <mergeCell ref="A629:B629"/>
    <mergeCell ref="H629:I629"/>
    <mergeCell ref="H631:I631"/>
    <mergeCell ref="A632:B632"/>
    <mergeCell ref="H632:I632"/>
    <mergeCell ref="A644:B644"/>
    <mergeCell ref="H644:I644"/>
    <mergeCell ref="A636:B636"/>
    <mergeCell ref="H636:I636"/>
    <mergeCell ref="A630:B630"/>
    <mergeCell ref="H630:I630"/>
    <mergeCell ref="A645:B645"/>
    <mergeCell ref="H645:I645"/>
    <mergeCell ref="H640:I640"/>
    <mergeCell ref="A641:B641"/>
    <mergeCell ref="H641:I641"/>
    <mergeCell ref="H643:I643"/>
    <mergeCell ref="A633:B633"/>
    <mergeCell ref="H633:I633"/>
    <mergeCell ref="A634:B634"/>
    <mergeCell ref="A635:B635"/>
    <mergeCell ref="A631:B631"/>
    <mergeCell ref="H621:I621"/>
    <mergeCell ref="A618:B618"/>
    <mergeCell ref="A622:B622"/>
    <mergeCell ref="A623:B623"/>
    <mergeCell ref="A624:B624"/>
    <mergeCell ref="A625:B625"/>
    <mergeCell ref="A626:B626"/>
    <mergeCell ref="A606:B606"/>
    <mergeCell ref="A611:B611"/>
    <mergeCell ref="A615:B615"/>
    <mergeCell ref="A619:B619"/>
    <mergeCell ref="H606:I606"/>
    <mergeCell ref="A607:B607"/>
    <mergeCell ref="H607:I607"/>
    <mergeCell ref="A608:B608"/>
    <mergeCell ref="A609:B609"/>
    <mergeCell ref="A610:B610"/>
    <mergeCell ref="H611:I611"/>
    <mergeCell ref="A612:B612"/>
    <mergeCell ref="H612:I612"/>
    <mergeCell ref="A613:B613"/>
    <mergeCell ref="H613:I613"/>
    <mergeCell ref="A614:B614"/>
    <mergeCell ref="A627:B627"/>
    <mergeCell ref="H627:I627"/>
    <mergeCell ref="A628:B628"/>
    <mergeCell ref="H628:I628"/>
    <mergeCell ref="H614:I614"/>
    <mergeCell ref="H615:I615"/>
    <mergeCell ref="H618:I618"/>
    <mergeCell ref="A596:B596"/>
    <mergeCell ref="H596:I596"/>
    <mergeCell ref="A597:B597"/>
    <mergeCell ref="H597:I597"/>
    <mergeCell ref="A598:B598"/>
    <mergeCell ref="H598:I598"/>
    <mergeCell ref="A599:B599"/>
    <mergeCell ref="H599:I599"/>
    <mergeCell ref="A600:B600"/>
    <mergeCell ref="H600:I600"/>
    <mergeCell ref="A601:B601"/>
    <mergeCell ref="H601:I601"/>
    <mergeCell ref="A602:B602"/>
    <mergeCell ref="A603:B603"/>
    <mergeCell ref="A604:B604"/>
    <mergeCell ref="A605:B605"/>
    <mergeCell ref="H605:I605"/>
    <mergeCell ref="A616:B616"/>
    <mergeCell ref="H616:I616"/>
    <mergeCell ref="A617:B617"/>
    <mergeCell ref="H617:I617"/>
    <mergeCell ref="H619:I619"/>
    <mergeCell ref="A620:B620"/>
    <mergeCell ref="H620:I620"/>
    <mergeCell ref="A621:B621"/>
    <mergeCell ref="A586:B586"/>
    <mergeCell ref="H586:I586"/>
    <mergeCell ref="A587:B587"/>
    <mergeCell ref="H587:I587"/>
    <mergeCell ref="A588:B588"/>
    <mergeCell ref="A589:B589"/>
    <mergeCell ref="A590:B590"/>
    <mergeCell ref="A591:B591"/>
    <mergeCell ref="H591:I591"/>
    <mergeCell ref="A592:B592"/>
    <mergeCell ref="H592:I592"/>
    <mergeCell ref="A593:B593"/>
    <mergeCell ref="H593:I593"/>
    <mergeCell ref="A594:B594"/>
    <mergeCell ref="H594:I594"/>
    <mergeCell ref="A595:B595"/>
    <mergeCell ref="H595:I595"/>
    <mergeCell ref="A575:B575"/>
    <mergeCell ref="H575:I575"/>
    <mergeCell ref="A576:B576"/>
    <mergeCell ref="H576:I576"/>
    <mergeCell ref="A577:B577"/>
    <mergeCell ref="H577:I577"/>
    <mergeCell ref="A578:B578"/>
    <mergeCell ref="A579:B579"/>
    <mergeCell ref="A580:B580"/>
    <mergeCell ref="A581:B581"/>
    <mergeCell ref="A582:B582"/>
    <mergeCell ref="H582:I582"/>
    <mergeCell ref="A583:B583"/>
    <mergeCell ref="H583:I583"/>
    <mergeCell ref="A584:B584"/>
    <mergeCell ref="H584:I584"/>
    <mergeCell ref="A585:B585"/>
    <mergeCell ref="H585:I585"/>
    <mergeCell ref="A566:B566"/>
    <mergeCell ref="H566:I566"/>
    <mergeCell ref="A567:B567"/>
    <mergeCell ref="H567:I567"/>
    <mergeCell ref="A568:B568"/>
    <mergeCell ref="H568:I568"/>
    <mergeCell ref="A569:B569"/>
    <mergeCell ref="H569:I569"/>
    <mergeCell ref="A570:B570"/>
    <mergeCell ref="H570:I570"/>
    <mergeCell ref="A571:B571"/>
    <mergeCell ref="H571:I571"/>
    <mergeCell ref="A572:B572"/>
    <mergeCell ref="H572:I572"/>
    <mergeCell ref="A573:B573"/>
    <mergeCell ref="H573:I573"/>
    <mergeCell ref="A574:B574"/>
    <mergeCell ref="H574:I574"/>
    <mergeCell ref="A554:B554"/>
    <mergeCell ref="H554:I554"/>
    <mergeCell ref="A555:B555"/>
    <mergeCell ref="A556:B556"/>
    <mergeCell ref="A557:B557"/>
    <mergeCell ref="A558:B558"/>
    <mergeCell ref="A559:B559"/>
    <mergeCell ref="A560:B560"/>
    <mergeCell ref="A561:B561"/>
    <mergeCell ref="H561:I561"/>
    <mergeCell ref="A562:B562"/>
    <mergeCell ref="H562:I562"/>
    <mergeCell ref="A563:B563"/>
    <mergeCell ref="H563:I563"/>
    <mergeCell ref="A564:B564"/>
    <mergeCell ref="H564:I564"/>
    <mergeCell ref="A565:B565"/>
    <mergeCell ref="H565:I565"/>
    <mergeCell ref="A544:B544"/>
    <mergeCell ref="H544:I544"/>
    <mergeCell ref="A545:B545"/>
    <mergeCell ref="H545:I545"/>
    <mergeCell ref="A546:B546"/>
    <mergeCell ref="H546:I546"/>
    <mergeCell ref="A547:B547"/>
    <mergeCell ref="A548:B548"/>
    <mergeCell ref="A549:B549"/>
    <mergeCell ref="H549:I549"/>
    <mergeCell ref="A550:B550"/>
    <mergeCell ref="H550:I550"/>
    <mergeCell ref="A551:B551"/>
    <mergeCell ref="H551:I551"/>
    <mergeCell ref="A552:B552"/>
    <mergeCell ref="H552:I552"/>
    <mergeCell ref="A553:B553"/>
    <mergeCell ref="H553:I553"/>
    <mergeCell ref="A534:B534"/>
    <mergeCell ref="H534:I534"/>
    <mergeCell ref="A535:B535"/>
    <mergeCell ref="H535:I535"/>
    <mergeCell ref="A536:B536"/>
    <mergeCell ref="A537:B537"/>
    <mergeCell ref="A538:B538"/>
    <mergeCell ref="H538:I538"/>
    <mergeCell ref="A539:B539"/>
    <mergeCell ref="H539:I539"/>
    <mergeCell ref="A540:B540"/>
    <mergeCell ref="H540:I540"/>
    <mergeCell ref="A541:B541"/>
    <mergeCell ref="H541:I541"/>
    <mergeCell ref="A542:B542"/>
    <mergeCell ref="H542:I542"/>
    <mergeCell ref="A543:B543"/>
    <mergeCell ref="H543:I543"/>
    <mergeCell ref="A523:B523"/>
    <mergeCell ref="H523:I523"/>
    <mergeCell ref="A524:B524"/>
    <mergeCell ref="H524:I524"/>
    <mergeCell ref="A525:B525"/>
    <mergeCell ref="H525:I525"/>
    <mergeCell ref="A526:B526"/>
    <mergeCell ref="H526:I526"/>
    <mergeCell ref="A527:B527"/>
    <mergeCell ref="H527:I527"/>
    <mergeCell ref="A528:B528"/>
    <mergeCell ref="H528:I528"/>
    <mergeCell ref="A529:B529"/>
    <mergeCell ref="A530:B530"/>
    <mergeCell ref="A531:B531"/>
    <mergeCell ref="A532:B532"/>
    <mergeCell ref="A533:B533"/>
    <mergeCell ref="H533:I533"/>
    <mergeCell ref="A513:B513"/>
    <mergeCell ref="H513:I513"/>
    <mergeCell ref="A514:B514"/>
    <mergeCell ref="H514:I514"/>
    <mergeCell ref="A515:B515"/>
    <mergeCell ref="H515:I515"/>
    <mergeCell ref="A516:B516"/>
    <mergeCell ref="H516:I516"/>
    <mergeCell ref="A517:B517"/>
    <mergeCell ref="A518:B518"/>
    <mergeCell ref="A519:B519"/>
    <mergeCell ref="H519:I519"/>
    <mergeCell ref="A520:B520"/>
    <mergeCell ref="H520:I520"/>
    <mergeCell ref="A521:B521"/>
    <mergeCell ref="H521:I521"/>
    <mergeCell ref="A522:B522"/>
    <mergeCell ref="H522:I522"/>
    <mergeCell ref="A503:B503"/>
    <mergeCell ref="H503:I503"/>
    <mergeCell ref="A504:B504"/>
    <mergeCell ref="H504:I504"/>
    <mergeCell ref="A505:B505"/>
    <mergeCell ref="H505:I505"/>
    <mergeCell ref="A506:B506"/>
    <mergeCell ref="H506:I506"/>
    <mergeCell ref="A507:B507"/>
    <mergeCell ref="H507:I507"/>
    <mergeCell ref="A508:B508"/>
    <mergeCell ref="H508:I508"/>
    <mergeCell ref="A509:B509"/>
    <mergeCell ref="H509:I509"/>
    <mergeCell ref="A510:B510"/>
    <mergeCell ref="A511:B511"/>
    <mergeCell ref="A512:B512"/>
    <mergeCell ref="A494:B494"/>
    <mergeCell ref="H494:I494"/>
    <mergeCell ref="A495:B495"/>
    <mergeCell ref="H495:I495"/>
    <mergeCell ref="A496:B496"/>
    <mergeCell ref="H496:I496"/>
    <mergeCell ref="A497:B497"/>
    <mergeCell ref="H497:I497"/>
    <mergeCell ref="A498:B498"/>
    <mergeCell ref="H498:I498"/>
    <mergeCell ref="A499:B499"/>
    <mergeCell ref="H499:I499"/>
    <mergeCell ref="A500:B500"/>
    <mergeCell ref="H500:I500"/>
    <mergeCell ref="A501:B501"/>
    <mergeCell ref="H501:I501"/>
    <mergeCell ref="A502:B502"/>
    <mergeCell ref="H502:I502"/>
    <mergeCell ref="A483:B483"/>
    <mergeCell ref="A484:B484"/>
    <mergeCell ref="A485:B485"/>
    <mergeCell ref="A486:B486"/>
    <mergeCell ref="H486:I486"/>
    <mergeCell ref="A487:B487"/>
    <mergeCell ref="H487:I487"/>
    <mergeCell ref="A488:B488"/>
    <mergeCell ref="H488:I488"/>
    <mergeCell ref="A489:B489"/>
    <mergeCell ref="H489:I489"/>
    <mergeCell ref="A490:B490"/>
    <mergeCell ref="H490:I490"/>
    <mergeCell ref="A491:B491"/>
    <mergeCell ref="A492:B492"/>
    <mergeCell ref="H492:I492"/>
    <mergeCell ref="A493:B493"/>
    <mergeCell ref="H493:I493"/>
    <mergeCell ref="A474:B474"/>
    <mergeCell ref="H474:I474"/>
    <mergeCell ref="A475:B475"/>
    <mergeCell ref="A476:B476"/>
    <mergeCell ref="H476:I476"/>
    <mergeCell ref="A477:B477"/>
    <mergeCell ref="H477:I477"/>
    <mergeCell ref="A478:B478"/>
    <mergeCell ref="H478:I478"/>
    <mergeCell ref="A479:B479"/>
    <mergeCell ref="H479:I479"/>
    <mergeCell ref="A480:B480"/>
    <mergeCell ref="H480:I480"/>
    <mergeCell ref="A481:B481"/>
    <mergeCell ref="H481:I481"/>
    <mergeCell ref="A482:B482"/>
    <mergeCell ref="H482:I482"/>
    <mergeCell ref="A464:B464"/>
    <mergeCell ref="H464:I464"/>
    <mergeCell ref="A465:B465"/>
    <mergeCell ref="H465:I465"/>
    <mergeCell ref="A466:B466"/>
    <mergeCell ref="A467:B467"/>
    <mergeCell ref="A468:B468"/>
    <mergeCell ref="A469:B469"/>
    <mergeCell ref="H469:I469"/>
    <mergeCell ref="A470:B470"/>
    <mergeCell ref="H470:I470"/>
    <mergeCell ref="A471:B471"/>
    <mergeCell ref="H471:I471"/>
    <mergeCell ref="A472:B472"/>
    <mergeCell ref="H472:I472"/>
    <mergeCell ref="A473:B473"/>
    <mergeCell ref="H473:I473"/>
    <mergeCell ref="A455:B455"/>
    <mergeCell ref="H455:I455"/>
    <mergeCell ref="A456:B456"/>
    <mergeCell ref="H456:I456"/>
    <mergeCell ref="A457:B457"/>
    <mergeCell ref="H457:I457"/>
    <mergeCell ref="A458:B458"/>
    <mergeCell ref="H458:I458"/>
    <mergeCell ref="A459:B459"/>
    <mergeCell ref="H459:I459"/>
    <mergeCell ref="A460:B460"/>
    <mergeCell ref="H460:I460"/>
    <mergeCell ref="A461:B461"/>
    <mergeCell ref="H461:I461"/>
    <mergeCell ref="A462:B462"/>
    <mergeCell ref="H462:I462"/>
    <mergeCell ref="A463:B463"/>
    <mergeCell ref="H463:I463"/>
    <mergeCell ref="A445:B445"/>
    <mergeCell ref="H445:I445"/>
    <mergeCell ref="A446:B446"/>
    <mergeCell ref="A447:B447"/>
    <mergeCell ref="H447:I447"/>
    <mergeCell ref="A448:B448"/>
    <mergeCell ref="H448:I448"/>
    <mergeCell ref="A449:B449"/>
    <mergeCell ref="H449:I449"/>
    <mergeCell ref="A450:B450"/>
    <mergeCell ref="H450:I450"/>
    <mergeCell ref="A451:B451"/>
    <mergeCell ref="H451:I451"/>
    <mergeCell ref="A452:B452"/>
    <mergeCell ref="A453:B453"/>
    <mergeCell ref="A454:B454"/>
    <mergeCell ref="H454:I454"/>
    <mergeCell ref="A436:B436"/>
    <mergeCell ref="H436:I436"/>
    <mergeCell ref="A437:B437"/>
    <mergeCell ref="H437:I437"/>
    <mergeCell ref="A438:B438"/>
    <mergeCell ref="H438:I438"/>
    <mergeCell ref="A439:B439"/>
    <mergeCell ref="H439:I439"/>
    <mergeCell ref="A440:B440"/>
    <mergeCell ref="H440:I440"/>
    <mergeCell ref="A441:B441"/>
    <mergeCell ref="H441:I441"/>
    <mergeCell ref="A442:B442"/>
    <mergeCell ref="H442:I442"/>
    <mergeCell ref="A443:B443"/>
    <mergeCell ref="H443:I443"/>
    <mergeCell ref="A444:B444"/>
    <mergeCell ref="H444:I444"/>
    <mergeCell ref="A427:B427"/>
    <mergeCell ref="H427:I427"/>
    <mergeCell ref="A428:B428"/>
    <mergeCell ref="H428:I428"/>
    <mergeCell ref="A429:B429"/>
    <mergeCell ref="H429:I429"/>
    <mergeCell ref="A430:B430"/>
    <mergeCell ref="H430:I430"/>
    <mergeCell ref="A431:B431"/>
    <mergeCell ref="A432:B432"/>
    <mergeCell ref="H432:I432"/>
    <mergeCell ref="A433:B433"/>
    <mergeCell ref="H433:I433"/>
    <mergeCell ref="A434:B434"/>
    <mergeCell ref="H434:I434"/>
    <mergeCell ref="A435:B435"/>
    <mergeCell ref="H435:I435"/>
    <mergeCell ref="A415:B415"/>
    <mergeCell ref="H415:I415"/>
    <mergeCell ref="A416:B416"/>
    <mergeCell ref="A417:B417"/>
    <mergeCell ref="A418:B418"/>
    <mergeCell ref="A419:B419"/>
    <mergeCell ref="A420:B420"/>
    <mergeCell ref="H420:I420"/>
    <mergeCell ref="A421:B421"/>
    <mergeCell ref="A422:B422"/>
    <mergeCell ref="A423:B423"/>
    <mergeCell ref="H423:I423"/>
    <mergeCell ref="A424:B424"/>
    <mergeCell ref="H424:I424"/>
    <mergeCell ref="A425:B425"/>
    <mergeCell ref="H425:I425"/>
    <mergeCell ref="A426:B426"/>
    <mergeCell ref="H426:I426"/>
    <mergeCell ref="A406:B406"/>
    <mergeCell ref="A407:B407"/>
    <mergeCell ref="H407:I407"/>
    <mergeCell ref="A408:B408"/>
    <mergeCell ref="H408:I408"/>
    <mergeCell ref="A409:B409"/>
    <mergeCell ref="H409:I409"/>
    <mergeCell ref="A410:B410"/>
    <mergeCell ref="H410:I410"/>
    <mergeCell ref="A411:B411"/>
    <mergeCell ref="H411:I411"/>
    <mergeCell ref="A412:B412"/>
    <mergeCell ref="H412:I412"/>
    <mergeCell ref="A413:B413"/>
    <mergeCell ref="H413:I413"/>
    <mergeCell ref="A414:B414"/>
    <mergeCell ref="H414:I414"/>
    <mergeCell ref="A397:B397"/>
    <mergeCell ref="H397:I397"/>
    <mergeCell ref="A398:B398"/>
    <mergeCell ref="H398:I398"/>
    <mergeCell ref="A399:B399"/>
    <mergeCell ref="H399:I399"/>
    <mergeCell ref="A400:B400"/>
    <mergeCell ref="H400:I400"/>
    <mergeCell ref="A401:B401"/>
    <mergeCell ref="H401:I401"/>
    <mergeCell ref="A402:B402"/>
    <mergeCell ref="H402:I402"/>
    <mergeCell ref="A403:B403"/>
    <mergeCell ref="H403:I403"/>
    <mergeCell ref="A404:B404"/>
    <mergeCell ref="H404:I404"/>
    <mergeCell ref="A405:B405"/>
    <mergeCell ref="H405:I405"/>
    <mergeCell ref="A387:B387"/>
    <mergeCell ref="H387:I387"/>
    <mergeCell ref="A388:B388"/>
    <mergeCell ref="H388:I388"/>
    <mergeCell ref="A389:B389"/>
    <mergeCell ref="H389:I389"/>
    <mergeCell ref="A390:B390"/>
    <mergeCell ref="H390:I390"/>
    <mergeCell ref="A391:B391"/>
    <mergeCell ref="A392:B392"/>
    <mergeCell ref="A393:B393"/>
    <mergeCell ref="H393:I393"/>
    <mergeCell ref="A394:B394"/>
    <mergeCell ref="H394:I394"/>
    <mergeCell ref="A395:B395"/>
    <mergeCell ref="H395:I395"/>
    <mergeCell ref="A396:B396"/>
    <mergeCell ref="H396:I396"/>
    <mergeCell ref="A377:B377"/>
    <mergeCell ref="H377:I377"/>
    <mergeCell ref="A378:B378"/>
    <mergeCell ref="H378:I378"/>
    <mergeCell ref="A379:B379"/>
    <mergeCell ref="H379:I379"/>
    <mergeCell ref="A380:B380"/>
    <mergeCell ref="H380:I380"/>
    <mergeCell ref="A381:B381"/>
    <mergeCell ref="H381:I381"/>
    <mergeCell ref="A382:B382"/>
    <mergeCell ref="H382:I382"/>
    <mergeCell ref="A383:B383"/>
    <mergeCell ref="A384:B384"/>
    <mergeCell ref="A385:B385"/>
    <mergeCell ref="A386:B386"/>
    <mergeCell ref="H386:I386"/>
    <mergeCell ref="A366:B366"/>
    <mergeCell ref="H366:I366"/>
    <mergeCell ref="A367:B367"/>
    <mergeCell ref="H367:I367"/>
    <mergeCell ref="A368:B368"/>
    <mergeCell ref="H368:I368"/>
    <mergeCell ref="A369:B369"/>
    <mergeCell ref="H369:I369"/>
    <mergeCell ref="A370:B370"/>
    <mergeCell ref="A371:B371"/>
    <mergeCell ref="A372:B372"/>
    <mergeCell ref="A373:B373"/>
    <mergeCell ref="A374:B374"/>
    <mergeCell ref="A375:B375"/>
    <mergeCell ref="H375:I375"/>
    <mergeCell ref="A376:B376"/>
    <mergeCell ref="H376:I376"/>
    <mergeCell ref="A357:B357"/>
    <mergeCell ref="H357:I357"/>
    <mergeCell ref="A358:B358"/>
    <mergeCell ref="H358:I358"/>
    <mergeCell ref="A359:B359"/>
    <mergeCell ref="H359:I359"/>
    <mergeCell ref="A360:B360"/>
    <mergeCell ref="H360:I360"/>
    <mergeCell ref="A361:B361"/>
    <mergeCell ref="A362:B362"/>
    <mergeCell ref="H362:I362"/>
    <mergeCell ref="A363:B363"/>
    <mergeCell ref="H363:I363"/>
    <mergeCell ref="A364:B364"/>
    <mergeCell ref="H364:I364"/>
    <mergeCell ref="A365:B365"/>
    <mergeCell ref="H365:I365"/>
    <mergeCell ref="A346:B346"/>
    <mergeCell ref="H346:I346"/>
    <mergeCell ref="A347:B347"/>
    <mergeCell ref="H347:I347"/>
    <mergeCell ref="A348:B348"/>
    <mergeCell ref="H348:I348"/>
    <mergeCell ref="A349:B349"/>
    <mergeCell ref="H349:I349"/>
    <mergeCell ref="A350:B350"/>
    <mergeCell ref="H350:I350"/>
    <mergeCell ref="A351:B351"/>
    <mergeCell ref="H351:I351"/>
    <mergeCell ref="A352:B352"/>
    <mergeCell ref="A353:B353"/>
    <mergeCell ref="A354:B354"/>
    <mergeCell ref="A355:B355"/>
    <mergeCell ref="A356:B356"/>
    <mergeCell ref="H356:I356"/>
    <mergeCell ref="A336:B336"/>
    <mergeCell ref="A337:B337"/>
    <mergeCell ref="A338:B338"/>
    <mergeCell ref="H338:I338"/>
    <mergeCell ref="A339:B339"/>
    <mergeCell ref="H339:I339"/>
    <mergeCell ref="A340:B340"/>
    <mergeCell ref="H340:I340"/>
    <mergeCell ref="A341:B341"/>
    <mergeCell ref="H341:I341"/>
    <mergeCell ref="A342:B342"/>
    <mergeCell ref="H342:I342"/>
    <mergeCell ref="A343:B343"/>
    <mergeCell ref="A344:B344"/>
    <mergeCell ref="H344:I344"/>
    <mergeCell ref="A345:B345"/>
    <mergeCell ref="H345:I345"/>
    <mergeCell ref="A326:B326"/>
    <mergeCell ref="A327:B327"/>
    <mergeCell ref="H327:I327"/>
    <mergeCell ref="A328:B328"/>
    <mergeCell ref="H328:I328"/>
    <mergeCell ref="A329:B329"/>
    <mergeCell ref="H329:I329"/>
    <mergeCell ref="A330:B330"/>
    <mergeCell ref="H330:I330"/>
    <mergeCell ref="A331:B331"/>
    <mergeCell ref="H331:I331"/>
    <mergeCell ref="A332:B332"/>
    <mergeCell ref="H332:I332"/>
    <mergeCell ref="A333:B333"/>
    <mergeCell ref="H333:I333"/>
    <mergeCell ref="A334:B334"/>
    <mergeCell ref="A335:B335"/>
    <mergeCell ref="A315:B315"/>
    <mergeCell ref="H315:I315"/>
    <mergeCell ref="A316:B316"/>
    <mergeCell ref="H316:I316"/>
    <mergeCell ref="A317:B317"/>
    <mergeCell ref="A318:B318"/>
    <mergeCell ref="A319:B319"/>
    <mergeCell ref="A320:B320"/>
    <mergeCell ref="A321:B321"/>
    <mergeCell ref="H321:I321"/>
    <mergeCell ref="A322:B322"/>
    <mergeCell ref="H322:I322"/>
    <mergeCell ref="A323:B323"/>
    <mergeCell ref="H323:I323"/>
    <mergeCell ref="A324:B324"/>
    <mergeCell ref="H324:I324"/>
    <mergeCell ref="A325:B325"/>
    <mergeCell ref="H325:I325"/>
    <mergeCell ref="A306:B306"/>
    <mergeCell ref="H306:I306"/>
    <mergeCell ref="A307:B307"/>
    <mergeCell ref="A308:B308"/>
    <mergeCell ref="H308:I308"/>
    <mergeCell ref="A309:B309"/>
    <mergeCell ref="H309:I309"/>
    <mergeCell ref="A310:B310"/>
    <mergeCell ref="H310:I310"/>
    <mergeCell ref="A311:B311"/>
    <mergeCell ref="H311:I311"/>
    <mergeCell ref="A312:B312"/>
    <mergeCell ref="H312:I312"/>
    <mergeCell ref="A313:B313"/>
    <mergeCell ref="H313:I313"/>
    <mergeCell ref="A314:B314"/>
    <mergeCell ref="H314:I314"/>
    <mergeCell ref="A297:B297"/>
    <mergeCell ref="H297:I297"/>
    <mergeCell ref="A298:B298"/>
    <mergeCell ref="H298:I298"/>
    <mergeCell ref="A299:B299"/>
    <mergeCell ref="H299:I299"/>
    <mergeCell ref="A300:B300"/>
    <mergeCell ref="H300:I300"/>
    <mergeCell ref="A301:B301"/>
    <mergeCell ref="H301:I301"/>
    <mergeCell ref="A302:B302"/>
    <mergeCell ref="H302:I302"/>
    <mergeCell ref="A303:B303"/>
    <mergeCell ref="H303:I303"/>
    <mergeCell ref="A304:B304"/>
    <mergeCell ref="H304:I304"/>
    <mergeCell ref="A305:B305"/>
    <mergeCell ref="H305:I305"/>
    <mergeCell ref="A288:B288"/>
    <mergeCell ref="H288:I288"/>
    <mergeCell ref="A289:B289"/>
    <mergeCell ref="H289:I289"/>
    <mergeCell ref="A290:B290"/>
    <mergeCell ref="H290:I290"/>
    <mergeCell ref="A291:B291"/>
    <mergeCell ref="H291:I291"/>
    <mergeCell ref="A292:B292"/>
    <mergeCell ref="H292:I292"/>
    <mergeCell ref="A293:B293"/>
    <mergeCell ref="H293:I293"/>
    <mergeCell ref="A294:B294"/>
    <mergeCell ref="A295:B295"/>
    <mergeCell ref="H295:I295"/>
    <mergeCell ref="A296:B296"/>
    <mergeCell ref="H296:I296"/>
    <mergeCell ref="A279:B279"/>
    <mergeCell ref="H279:I279"/>
    <mergeCell ref="A280:B280"/>
    <mergeCell ref="H280:I280"/>
    <mergeCell ref="A281:B281"/>
    <mergeCell ref="H281:I281"/>
    <mergeCell ref="A282:B282"/>
    <mergeCell ref="H282:I282"/>
    <mergeCell ref="A283:B283"/>
    <mergeCell ref="H283:I283"/>
    <mergeCell ref="A284:B284"/>
    <mergeCell ref="H284:I284"/>
    <mergeCell ref="A285:B285"/>
    <mergeCell ref="H285:I285"/>
    <mergeCell ref="A286:B286"/>
    <mergeCell ref="H286:I286"/>
    <mergeCell ref="A287:B287"/>
    <mergeCell ref="H287:I287"/>
    <mergeCell ref="A270:B270"/>
    <mergeCell ref="H270:I270"/>
    <mergeCell ref="A271:B271"/>
    <mergeCell ref="H271:I271"/>
    <mergeCell ref="A272:B272"/>
    <mergeCell ref="H272:I272"/>
    <mergeCell ref="A273:B273"/>
    <mergeCell ref="H273:I273"/>
    <mergeCell ref="A274:B274"/>
    <mergeCell ref="H274:I274"/>
    <mergeCell ref="A275:B275"/>
    <mergeCell ref="H275:I275"/>
    <mergeCell ref="A276:B276"/>
    <mergeCell ref="H276:I276"/>
    <mergeCell ref="A277:B277"/>
    <mergeCell ref="H277:I277"/>
    <mergeCell ref="A278:B278"/>
    <mergeCell ref="H278:I278"/>
    <mergeCell ref="A261:B261"/>
    <mergeCell ref="H261:I261"/>
    <mergeCell ref="A262:B262"/>
    <mergeCell ref="H262:I262"/>
    <mergeCell ref="A263:B263"/>
    <mergeCell ref="H263:I263"/>
    <mergeCell ref="A264:B264"/>
    <mergeCell ref="H264:I264"/>
    <mergeCell ref="A265:B265"/>
    <mergeCell ref="H265:I265"/>
    <mergeCell ref="A266:B266"/>
    <mergeCell ref="H266:I266"/>
    <mergeCell ref="A267:B267"/>
    <mergeCell ref="H267:I267"/>
    <mergeCell ref="A268:B268"/>
    <mergeCell ref="H268:I268"/>
    <mergeCell ref="A269:B269"/>
    <mergeCell ref="H269:I269"/>
    <mergeCell ref="A252:B252"/>
    <mergeCell ref="H252:I252"/>
    <mergeCell ref="A253:B253"/>
    <mergeCell ref="H253:I253"/>
    <mergeCell ref="A254:B254"/>
    <mergeCell ref="H254:I254"/>
    <mergeCell ref="A255:B255"/>
    <mergeCell ref="H255:I255"/>
    <mergeCell ref="A256:B256"/>
    <mergeCell ref="H256:I256"/>
    <mergeCell ref="A257:B257"/>
    <mergeCell ref="H257:I257"/>
    <mergeCell ref="A258:B258"/>
    <mergeCell ref="H258:I258"/>
    <mergeCell ref="A259:B259"/>
    <mergeCell ref="H259:I259"/>
    <mergeCell ref="A260:B260"/>
    <mergeCell ref="H260:I260"/>
    <mergeCell ref="A243:B243"/>
    <mergeCell ref="H243:I243"/>
    <mergeCell ref="A244:B244"/>
    <mergeCell ref="H244:I244"/>
    <mergeCell ref="A245:B245"/>
    <mergeCell ref="H245:I245"/>
    <mergeCell ref="A246:B246"/>
    <mergeCell ref="H246:I246"/>
    <mergeCell ref="A247:B247"/>
    <mergeCell ref="H247:I247"/>
    <mergeCell ref="A248:B248"/>
    <mergeCell ref="H248:I248"/>
    <mergeCell ref="A249:B249"/>
    <mergeCell ref="H249:I249"/>
    <mergeCell ref="A250:B250"/>
    <mergeCell ref="H250:I250"/>
    <mergeCell ref="A251:B251"/>
    <mergeCell ref="H251:I251"/>
    <mergeCell ref="A234:B234"/>
    <mergeCell ref="A235:B235"/>
    <mergeCell ref="H235:I235"/>
    <mergeCell ref="A236:B236"/>
    <mergeCell ref="H236:I236"/>
    <mergeCell ref="A237:B237"/>
    <mergeCell ref="H237:I237"/>
    <mergeCell ref="A238:B238"/>
    <mergeCell ref="H238:I238"/>
    <mergeCell ref="A239:B239"/>
    <mergeCell ref="H239:I239"/>
    <mergeCell ref="A240:B240"/>
    <mergeCell ref="H240:I240"/>
    <mergeCell ref="A241:B241"/>
    <mergeCell ref="H241:I241"/>
    <mergeCell ref="A242:B242"/>
    <mergeCell ref="H242:I242"/>
    <mergeCell ref="A225:B225"/>
    <mergeCell ref="H225:I225"/>
    <mergeCell ref="A226:B226"/>
    <mergeCell ref="H226:I226"/>
    <mergeCell ref="A227:B227"/>
    <mergeCell ref="H227:I227"/>
    <mergeCell ref="A228:B228"/>
    <mergeCell ref="H228:I228"/>
    <mergeCell ref="A229:B229"/>
    <mergeCell ref="H229:I229"/>
    <mergeCell ref="A230:B230"/>
    <mergeCell ref="H230:I230"/>
    <mergeCell ref="A231:B231"/>
    <mergeCell ref="H231:I231"/>
    <mergeCell ref="A232:B232"/>
    <mergeCell ref="H232:I232"/>
    <mergeCell ref="A233:B233"/>
    <mergeCell ref="H233:I233"/>
    <mergeCell ref="A216:B216"/>
    <mergeCell ref="H216:I216"/>
    <mergeCell ref="A217:B217"/>
    <mergeCell ref="H217:I217"/>
    <mergeCell ref="A218:B218"/>
    <mergeCell ref="H218:I218"/>
    <mergeCell ref="A219:B219"/>
    <mergeCell ref="H219:I219"/>
    <mergeCell ref="A220:B220"/>
    <mergeCell ref="H220:I220"/>
    <mergeCell ref="A221:B221"/>
    <mergeCell ref="H221:I221"/>
    <mergeCell ref="A222:B222"/>
    <mergeCell ref="H222:I222"/>
    <mergeCell ref="A223:B223"/>
    <mergeCell ref="H223:I223"/>
    <mergeCell ref="A224:B224"/>
    <mergeCell ref="H224:I224"/>
    <mergeCell ref="A207:B207"/>
    <mergeCell ref="H207:I207"/>
    <mergeCell ref="A208:B208"/>
    <mergeCell ref="H208:I208"/>
    <mergeCell ref="A209:B209"/>
    <mergeCell ref="H209:I209"/>
    <mergeCell ref="A210:B210"/>
    <mergeCell ref="H210:I210"/>
    <mergeCell ref="A211:B211"/>
    <mergeCell ref="H211:I211"/>
    <mergeCell ref="A212:B212"/>
    <mergeCell ref="H212:I212"/>
    <mergeCell ref="A213:B213"/>
    <mergeCell ref="H213:I213"/>
    <mergeCell ref="A214:B214"/>
    <mergeCell ref="H214:I214"/>
    <mergeCell ref="A215:B215"/>
    <mergeCell ref="H215:I215"/>
    <mergeCell ref="A198:B198"/>
    <mergeCell ref="H198:I198"/>
    <mergeCell ref="A199:B199"/>
    <mergeCell ref="H199:I199"/>
    <mergeCell ref="A200:B200"/>
    <mergeCell ref="H200:I200"/>
    <mergeCell ref="A201:B201"/>
    <mergeCell ref="H201:I201"/>
    <mergeCell ref="A202:B202"/>
    <mergeCell ref="H202:I202"/>
    <mergeCell ref="A203:B203"/>
    <mergeCell ref="H203:I203"/>
    <mergeCell ref="A204:B204"/>
    <mergeCell ref="H204:I204"/>
    <mergeCell ref="A205:B205"/>
    <mergeCell ref="H205:I205"/>
    <mergeCell ref="A206:B206"/>
    <mergeCell ref="H206:I206"/>
    <mergeCell ref="A189:B189"/>
    <mergeCell ref="H189:I189"/>
    <mergeCell ref="A190:B190"/>
    <mergeCell ref="H190:I190"/>
    <mergeCell ref="A191:B191"/>
    <mergeCell ref="H191:I191"/>
    <mergeCell ref="A192:B192"/>
    <mergeCell ref="H192:I192"/>
    <mergeCell ref="A193:B193"/>
    <mergeCell ref="H193:I193"/>
    <mergeCell ref="A194:B194"/>
    <mergeCell ref="H194:I194"/>
    <mergeCell ref="A195:B195"/>
    <mergeCell ref="H195:I195"/>
    <mergeCell ref="A196:B196"/>
    <mergeCell ref="H196:I196"/>
    <mergeCell ref="A197:B197"/>
    <mergeCell ref="H197:I197"/>
    <mergeCell ref="A180:B180"/>
    <mergeCell ref="H180:I180"/>
    <mergeCell ref="A181:B181"/>
    <mergeCell ref="H181:I181"/>
    <mergeCell ref="A182:B182"/>
    <mergeCell ref="H182:I182"/>
    <mergeCell ref="A183:B183"/>
    <mergeCell ref="H183:I183"/>
    <mergeCell ref="A184:B184"/>
    <mergeCell ref="H184:I184"/>
    <mergeCell ref="A185:B185"/>
    <mergeCell ref="H185:I185"/>
    <mergeCell ref="A186:B186"/>
    <mergeCell ref="H186:I186"/>
    <mergeCell ref="A187:B187"/>
    <mergeCell ref="H187:I187"/>
    <mergeCell ref="A188:B188"/>
    <mergeCell ref="A171:B171"/>
    <mergeCell ref="H171:I171"/>
    <mergeCell ref="A172:B172"/>
    <mergeCell ref="H172:I172"/>
    <mergeCell ref="A173:B173"/>
    <mergeCell ref="H173:I173"/>
    <mergeCell ref="A174:B174"/>
    <mergeCell ref="H174:I174"/>
    <mergeCell ref="A175:B175"/>
    <mergeCell ref="H175:I175"/>
    <mergeCell ref="A176:B176"/>
    <mergeCell ref="H176:I176"/>
    <mergeCell ref="A177:B177"/>
    <mergeCell ref="H177:I177"/>
    <mergeCell ref="A178:B178"/>
    <mergeCell ref="H178:I178"/>
    <mergeCell ref="A179:B179"/>
    <mergeCell ref="H179:I179"/>
    <mergeCell ref="A162:B162"/>
    <mergeCell ref="H162:I162"/>
    <mergeCell ref="A163:B163"/>
    <mergeCell ref="H163:I163"/>
    <mergeCell ref="A164:B164"/>
    <mergeCell ref="H164:I164"/>
    <mergeCell ref="A165:B165"/>
    <mergeCell ref="H165:I165"/>
    <mergeCell ref="A166:B166"/>
    <mergeCell ref="H166:I166"/>
    <mergeCell ref="A167:B167"/>
    <mergeCell ref="H167:I167"/>
    <mergeCell ref="A168:B168"/>
    <mergeCell ref="H168:I168"/>
    <mergeCell ref="A169:B169"/>
    <mergeCell ref="H169:I169"/>
    <mergeCell ref="A170:B170"/>
    <mergeCell ref="H170:I170"/>
    <mergeCell ref="A153:B153"/>
    <mergeCell ref="H153:I153"/>
    <mergeCell ref="A154:B154"/>
    <mergeCell ref="H154:I154"/>
    <mergeCell ref="A155:B155"/>
    <mergeCell ref="H155:I155"/>
    <mergeCell ref="A156:B156"/>
    <mergeCell ref="H156:I156"/>
    <mergeCell ref="A157:B157"/>
    <mergeCell ref="H157:I157"/>
    <mergeCell ref="A158:B158"/>
    <mergeCell ref="H158:I158"/>
    <mergeCell ref="A159:B159"/>
    <mergeCell ref="H159:I159"/>
    <mergeCell ref="A160:B160"/>
    <mergeCell ref="H160:I160"/>
    <mergeCell ref="A161:B161"/>
    <mergeCell ref="H161:I161"/>
    <mergeCell ref="A144:B144"/>
    <mergeCell ref="H144:I144"/>
    <mergeCell ref="A145:B145"/>
    <mergeCell ref="H145:I145"/>
    <mergeCell ref="A146:B146"/>
    <mergeCell ref="H146:I146"/>
    <mergeCell ref="A147:B147"/>
    <mergeCell ref="H147:I147"/>
    <mergeCell ref="A148:B148"/>
    <mergeCell ref="H148:I148"/>
    <mergeCell ref="A149:B149"/>
    <mergeCell ref="H149:I149"/>
    <mergeCell ref="A150:B150"/>
    <mergeCell ref="H150:I150"/>
    <mergeCell ref="A151:B151"/>
    <mergeCell ref="H151:I151"/>
    <mergeCell ref="A152:B152"/>
    <mergeCell ref="H152:I152"/>
    <mergeCell ref="A135:B135"/>
    <mergeCell ref="H135:I135"/>
    <mergeCell ref="A136:B136"/>
    <mergeCell ref="H136:I136"/>
    <mergeCell ref="A137:B137"/>
    <mergeCell ref="H137:I137"/>
    <mergeCell ref="A138:B138"/>
    <mergeCell ref="H138:I138"/>
    <mergeCell ref="A139:B139"/>
    <mergeCell ref="H139:I139"/>
    <mergeCell ref="A140:B140"/>
    <mergeCell ref="H140:I140"/>
    <mergeCell ref="A141:B141"/>
    <mergeCell ref="H141:I141"/>
    <mergeCell ref="A142:B142"/>
    <mergeCell ref="H142:I142"/>
    <mergeCell ref="A143:B143"/>
    <mergeCell ref="H143:I143"/>
    <mergeCell ref="A126:B126"/>
    <mergeCell ref="H126:I126"/>
    <mergeCell ref="A127:B127"/>
    <mergeCell ref="H127:I127"/>
    <mergeCell ref="A128:B128"/>
    <mergeCell ref="H128:I128"/>
    <mergeCell ref="A129:B129"/>
    <mergeCell ref="H129:I129"/>
    <mergeCell ref="A130:B130"/>
    <mergeCell ref="H130:I130"/>
    <mergeCell ref="A131:B131"/>
    <mergeCell ref="H131:I131"/>
    <mergeCell ref="A132:B132"/>
    <mergeCell ref="H132:I132"/>
    <mergeCell ref="A133:B133"/>
    <mergeCell ref="H133:I133"/>
    <mergeCell ref="A134:B134"/>
    <mergeCell ref="H134:I134"/>
    <mergeCell ref="A117:B117"/>
    <mergeCell ref="A118:B118"/>
    <mergeCell ref="H118:I118"/>
    <mergeCell ref="A119:B119"/>
    <mergeCell ref="H119:I119"/>
    <mergeCell ref="A120:B120"/>
    <mergeCell ref="H120:I120"/>
    <mergeCell ref="A121:B121"/>
    <mergeCell ref="H121:I121"/>
    <mergeCell ref="A122:B122"/>
    <mergeCell ref="H122:I122"/>
    <mergeCell ref="A123:B123"/>
    <mergeCell ref="H123:I123"/>
    <mergeCell ref="A124:B124"/>
    <mergeCell ref="H124:I124"/>
    <mergeCell ref="A125:B125"/>
    <mergeCell ref="H125:I125"/>
    <mergeCell ref="A107:B107"/>
    <mergeCell ref="H107:I107"/>
    <mergeCell ref="A108:B108"/>
    <mergeCell ref="A109:B109"/>
    <mergeCell ref="A110:B110"/>
    <mergeCell ref="H110:I110"/>
    <mergeCell ref="A111:B111"/>
    <mergeCell ref="H111:I111"/>
    <mergeCell ref="A112:B112"/>
    <mergeCell ref="H112:I112"/>
    <mergeCell ref="A113:B113"/>
    <mergeCell ref="H113:I113"/>
    <mergeCell ref="A114:B114"/>
    <mergeCell ref="H114:I114"/>
    <mergeCell ref="A115:B115"/>
    <mergeCell ref="H115:I115"/>
    <mergeCell ref="A116:B116"/>
    <mergeCell ref="H116:I116"/>
    <mergeCell ref="A98:B98"/>
    <mergeCell ref="H98:I98"/>
    <mergeCell ref="A99:B99"/>
    <mergeCell ref="H99:I99"/>
    <mergeCell ref="A100:B100"/>
    <mergeCell ref="H100:I100"/>
    <mergeCell ref="A101:B101"/>
    <mergeCell ref="H101:I101"/>
    <mergeCell ref="A102:B102"/>
    <mergeCell ref="H102:I102"/>
    <mergeCell ref="A103:B103"/>
    <mergeCell ref="H103:I103"/>
    <mergeCell ref="A104:B104"/>
    <mergeCell ref="H104:I104"/>
    <mergeCell ref="A105:B105"/>
    <mergeCell ref="H105:I105"/>
    <mergeCell ref="A106:B106"/>
    <mergeCell ref="H106:I106"/>
    <mergeCell ref="A89:B89"/>
    <mergeCell ref="H89:I89"/>
    <mergeCell ref="A90:B90"/>
    <mergeCell ref="H90:I90"/>
    <mergeCell ref="A91:B91"/>
    <mergeCell ref="H91:I91"/>
    <mergeCell ref="A92:B92"/>
    <mergeCell ref="H92:I92"/>
    <mergeCell ref="A93:B93"/>
    <mergeCell ref="H93:I93"/>
    <mergeCell ref="A94:B94"/>
    <mergeCell ref="H94:I94"/>
    <mergeCell ref="A95:B95"/>
    <mergeCell ref="H95:I95"/>
    <mergeCell ref="A96:B96"/>
    <mergeCell ref="H96:I96"/>
    <mergeCell ref="A97:B97"/>
    <mergeCell ref="A80:B80"/>
    <mergeCell ref="H80:I80"/>
    <mergeCell ref="A81:B81"/>
    <mergeCell ref="H81:I81"/>
    <mergeCell ref="A82:B82"/>
    <mergeCell ref="H82:I82"/>
    <mergeCell ref="A83:B83"/>
    <mergeCell ref="H83:I83"/>
    <mergeCell ref="A84:B84"/>
    <mergeCell ref="H84:I84"/>
    <mergeCell ref="A85:B85"/>
    <mergeCell ref="H85:I85"/>
    <mergeCell ref="A86:B86"/>
    <mergeCell ref="H86:I86"/>
    <mergeCell ref="A87:B87"/>
    <mergeCell ref="H87:I87"/>
    <mergeCell ref="A88:B88"/>
    <mergeCell ref="H88:I88"/>
    <mergeCell ref="A71:B71"/>
    <mergeCell ref="H71:I71"/>
    <mergeCell ref="A72:B72"/>
    <mergeCell ref="H72:I72"/>
    <mergeCell ref="A73:B73"/>
    <mergeCell ref="H73:I73"/>
    <mergeCell ref="A74:B74"/>
    <mergeCell ref="H74:I74"/>
    <mergeCell ref="A75:B75"/>
    <mergeCell ref="H75:I75"/>
    <mergeCell ref="A76:B76"/>
    <mergeCell ref="H76:I76"/>
    <mergeCell ref="A77:B77"/>
    <mergeCell ref="H77:I77"/>
    <mergeCell ref="A78:B78"/>
    <mergeCell ref="A79:B79"/>
    <mergeCell ref="H79:I79"/>
    <mergeCell ref="A61:B61"/>
    <mergeCell ref="A62:B62"/>
    <mergeCell ref="A63:B63"/>
    <mergeCell ref="H63:I63"/>
    <mergeCell ref="A64:B64"/>
    <mergeCell ref="H64:I64"/>
    <mergeCell ref="A65:B65"/>
    <mergeCell ref="H65:I65"/>
    <mergeCell ref="A66:B66"/>
    <mergeCell ref="H66:I66"/>
    <mergeCell ref="A67:B67"/>
    <mergeCell ref="H67:I67"/>
    <mergeCell ref="A68:B68"/>
    <mergeCell ref="A69:B69"/>
    <mergeCell ref="H69:I69"/>
    <mergeCell ref="A70:B70"/>
    <mergeCell ref="H70:I70"/>
    <mergeCell ref="A52:B52"/>
    <mergeCell ref="H52:I52"/>
    <mergeCell ref="A53:B53"/>
    <mergeCell ref="H53:I53"/>
    <mergeCell ref="A54:B54"/>
    <mergeCell ref="H54:I54"/>
    <mergeCell ref="A55:B55"/>
    <mergeCell ref="H55:I55"/>
    <mergeCell ref="A56:B56"/>
    <mergeCell ref="H56:I56"/>
    <mergeCell ref="A57:B57"/>
    <mergeCell ref="H57:I57"/>
    <mergeCell ref="A58:B58"/>
    <mergeCell ref="H58:I58"/>
    <mergeCell ref="A59:B59"/>
    <mergeCell ref="H59:I59"/>
    <mergeCell ref="A60:B60"/>
    <mergeCell ref="A43:B43"/>
    <mergeCell ref="H43:I43"/>
    <mergeCell ref="A44:B44"/>
    <mergeCell ref="H44:I44"/>
    <mergeCell ref="A45:B45"/>
    <mergeCell ref="H45:I45"/>
    <mergeCell ref="A46:B46"/>
    <mergeCell ref="H46:I46"/>
    <mergeCell ref="A47:B47"/>
    <mergeCell ref="H47:I47"/>
    <mergeCell ref="A48:B48"/>
    <mergeCell ref="H48:I48"/>
    <mergeCell ref="A49:B49"/>
    <mergeCell ref="H49:I49"/>
    <mergeCell ref="A50:B50"/>
    <mergeCell ref="H50:I50"/>
    <mergeCell ref="A51:B51"/>
    <mergeCell ref="H51:I51"/>
    <mergeCell ref="A34:B34"/>
    <mergeCell ref="H34:I34"/>
    <mergeCell ref="A35:B35"/>
    <mergeCell ref="H35:I35"/>
    <mergeCell ref="A36:B36"/>
    <mergeCell ref="H36:I36"/>
    <mergeCell ref="A37:B37"/>
    <mergeCell ref="H37:I37"/>
    <mergeCell ref="A38:B38"/>
    <mergeCell ref="H38:I38"/>
    <mergeCell ref="A39:B39"/>
    <mergeCell ref="H39:I39"/>
    <mergeCell ref="A40:B40"/>
    <mergeCell ref="H40:I40"/>
    <mergeCell ref="A41:B41"/>
    <mergeCell ref="H41:I41"/>
    <mergeCell ref="A42:B42"/>
    <mergeCell ref="H42:I42"/>
    <mergeCell ref="A24:B24"/>
    <mergeCell ref="A25:B25"/>
    <mergeCell ref="A26:B26"/>
    <mergeCell ref="H26:I26"/>
    <mergeCell ref="A27:B27"/>
    <mergeCell ref="H27:I27"/>
    <mergeCell ref="A28:B28"/>
    <mergeCell ref="H28:I28"/>
    <mergeCell ref="A29:B29"/>
    <mergeCell ref="H29:I29"/>
    <mergeCell ref="A30:B30"/>
    <mergeCell ref="H30:I30"/>
    <mergeCell ref="A31:B31"/>
    <mergeCell ref="H31:I31"/>
    <mergeCell ref="A32:B32"/>
    <mergeCell ref="H32:I32"/>
    <mergeCell ref="A33:B33"/>
    <mergeCell ref="A15:B15"/>
    <mergeCell ref="H15:I15"/>
    <mergeCell ref="A16:B16"/>
    <mergeCell ref="H16:I16"/>
    <mergeCell ref="A17:B17"/>
    <mergeCell ref="H17:I17"/>
    <mergeCell ref="A18:B18"/>
    <mergeCell ref="H18:I18"/>
    <mergeCell ref="A19:B19"/>
    <mergeCell ref="H19:I19"/>
    <mergeCell ref="A20:B20"/>
    <mergeCell ref="H20:I20"/>
    <mergeCell ref="A21:B21"/>
    <mergeCell ref="H21:I21"/>
    <mergeCell ref="A22:B22"/>
    <mergeCell ref="H22:I22"/>
    <mergeCell ref="A23:B23"/>
    <mergeCell ref="H23:I23"/>
    <mergeCell ref="A1:I1"/>
    <mergeCell ref="B2:H2"/>
    <mergeCell ref="B4:H4"/>
    <mergeCell ref="A6:B6"/>
    <mergeCell ref="H6:I6"/>
    <mergeCell ref="A7:B7"/>
    <mergeCell ref="A8:B8"/>
    <mergeCell ref="A9:B9"/>
    <mergeCell ref="A10:B10"/>
    <mergeCell ref="H10:I10"/>
    <mergeCell ref="A11:B11"/>
    <mergeCell ref="H11:I11"/>
    <mergeCell ref="A12:B12"/>
    <mergeCell ref="H12:I12"/>
    <mergeCell ref="A13:B13"/>
    <mergeCell ref="H13:I13"/>
    <mergeCell ref="A14:B14"/>
    <mergeCell ref="H14:I14"/>
  </mergeCells>
  <pageMargins left="0.5" right="0.5" top="0.5" bottom="0.9" header="0.5" footer="0.5"/>
  <pageSetup orientation="landscape" horizontalDpi="300" verticalDpi="300" r:id="rId1"/>
  <headerFooter alignWithMargins="0">
    <oddFooter>&amp;L&amp;"Tahoma,Regular"&amp;8 Printed by CITYOFFERNDALE\\RachelMoothart on 10/5/2022 12:28:48 PM &amp;C&amp;"Tahoma,Regular"&amp;8 Ferndale - Estimated Revenue - Actual &amp;R&amp;"Tahoma,Regular"&amp;8 Page 1 of 2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14623-7A1C-4087-87D7-F18A3C919524}">
  <dimension ref="A1:G48"/>
  <sheetViews>
    <sheetView showGridLines="0" workbookViewId="0">
      <selection activeCell="A1078" sqref="A1078"/>
    </sheetView>
  </sheetViews>
  <sheetFormatPr defaultRowHeight="15" x14ac:dyDescent="0.25"/>
  <cols>
    <col min="1" max="1" width="24.7109375" customWidth="1"/>
    <col min="2" max="2" width="27.42578125" customWidth="1"/>
    <col min="3" max="6" width="14.42578125" customWidth="1"/>
    <col min="7" max="7" width="13.7109375" customWidth="1"/>
  </cols>
  <sheetData>
    <row r="1" spans="1:7" ht="30.6" customHeight="1" x14ac:dyDescent="0.25"/>
    <row r="2" spans="1:7" ht="18" x14ac:dyDescent="0.25">
      <c r="A2" s="54" t="s">
        <v>3337</v>
      </c>
      <c r="B2" s="52" t="s">
        <v>2</v>
      </c>
      <c r="C2" s="52" t="s">
        <v>2</v>
      </c>
      <c r="D2" s="52" t="s">
        <v>2</v>
      </c>
      <c r="E2" s="52" t="s">
        <v>2</v>
      </c>
      <c r="F2" s="52" t="s">
        <v>2</v>
      </c>
      <c r="G2" s="52" t="s">
        <v>2</v>
      </c>
    </row>
    <row r="3" spans="1:7" x14ac:dyDescent="0.25">
      <c r="A3" s="52" t="s">
        <v>3336</v>
      </c>
      <c r="B3" s="52" t="s">
        <v>1</v>
      </c>
      <c r="C3" s="51" t="s">
        <v>3292</v>
      </c>
      <c r="D3" s="51" t="s">
        <v>3291</v>
      </c>
      <c r="E3" s="51" t="s">
        <v>3290</v>
      </c>
      <c r="F3" s="51" t="s">
        <v>3289</v>
      </c>
      <c r="G3" s="51"/>
    </row>
    <row r="4" spans="1:7" x14ac:dyDescent="0.25">
      <c r="A4" s="2" t="s">
        <v>3335</v>
      </c>
      <c r="B4" s="2" t="s">
        <v>3</v>
      </c>
      <c r="C4" s="3">
        <v>10074478.58</v>
      </c>
      <c r="D4" s="3">
        <v>10462073.609999999</v>
      </c>
      <c r="E4" s="3">
        <v>12754872.9</v>
      </c>
      <c r="F4" s="3">
        <v>8449046.5800000001</v>
      </c>
      <c r="G4" s="3">
        <v>0</v>
      </c>
    </row>
    <row r="5" spans="1:7" ht="24" x14ac:dyDescent="0.25">
      <c r="A5" s="2" t="s">
        <v>3334</v>
      </c>
      <c r="B5" s="2" t="s">
        <v>739</v>
      </c>
      <c r="C5" s="3">
        <v>2407.6999999999998</v>
      </c>
      <c r="D5" s="3">
        <v>50673.599999999999</v>
      </c>
      <c r="E5" s="3">
        <v>50200.25</v>
      </c>
      <c r="F5" s="3">
        <v>447.3</v>
      </c>
      <c r="G5" s="3">
        <v>0</v>
      </c>
    </row>
    <row r="6" spans="1:7" x14ac:dyDescent="0.25">
      <c r="A6" s="2" t="s">
        <v>3333</v>
      </c>
      <c r="B6" s="2" t="s">
        <v>744</v>
      </c>
      <c r="C6" s="3">
        <v>2407.6999999999998</v>
      </c>
      <c r="D6" s="3">
        <v>15574.38</v>
      </c>
      <c r="E6" s="3">
        <v>1015456.93</v>
      </c>
      <c r="F6" s="3">
        <v>2202.5700000000002</v>
      </c>
      <c r="G6" s="3">
        <v>0</v>
      </c>
    </row>
    <row r="7" spans="1:7" x14ac:dyDescent="0.25">
      <c r="A7" s="2" t="s">
        <v>3332</v>
      </c>
      <c r="B7" s="2" t="s">
        <v>748</v>
      </c>
      <c r="C7" s="3">
        <v>207884.04</v>
      </c>
      <c r="D7" s="3">
        <v>203713.99</v>
      </c>
      <c r="E7" s="3">
        <v>671072.47</v>
      </c>
      <c r="F7" s="3">
        <v>2924.68</v>
      </c>
      <c r="G7" s="3">
        <v>0</v>
      </c>
    </row>
    <row r="8" spans="1:7" x14ac:dyDescent="0.25">
      <c r="A8" s="2" t="s">
        <v>3331</v>
      </c>
      <c r="B8" s="2" t="s">
        <v>756</v>
      </c>
      <c r="C8" s="3">
        <v>2819238.03</v>
      </c>
      <c r="D8" s="3">
        <v>2651215</v>
      </c>
      <c r="E8" s="3">
        <v>2688087.43</v>
      </c>
      <c r="F8" s="3">
        <v>2670948.9300000002</v>
      </c>
      <c r="G8" s="3">
        <v>0</v>
      </c>
    </row>
    <row r="9" spans="1:7" ht="24" x14ac:dyDescent="0.25">
      <c r="A9" s="2" t="s">
        <v>3330</v>
      </c>
      <c r="B9" s="2" t="s">
        <v>783</v>
      </c>
      <c r="C9" s="3">
        <v>68602.25</v>
      </c>
      <c r="D9" s="3">
        <v>26563.25</v>
      </c>
      <c r="E9" s="3">
        <v>30262.5</v>
      </c>
      <c r="F9" s="3">
        <v>36855</v>
      </c>
      <c r="G9" s="3">
        <v>0</v>
      </c>
    </row>
    <row r="10" spans="1:7" x14ac:dyDescent="0.25">
      <c r="A10" s="2" t="s">
        <v>3329</v>
      </c>
      <c r="B10" s="2" t="s">
        <v>805</v>
      </c>
      <c r="C10" s="3">
        <v>1467450.45</v>
      </c>
      <c r="D10" s="3">
        <v>1488432.06</v>
      </c>
      <c r="E10" s="3">
        <v>1373508.51</v>
      </c>
      <c r="F10" s="3">
        <v>645387.5</v>
      </c>
      <c r="G10" s="3">
        <v>0</v>
      </c>
    </row>
    <row r="11" spans="1:7" x14ac:dyDescent="0.25">
      <c r="A11" s="2" t="s">
        <v>3328</v>
      </c>
      <c r="B11" s="2" t="s">
        <v>1039</v>
      </c>
      <c r="C11" s="3">
        <v>308734.19</v>
      </c>
      <c r="D11" s="3">
        <v>279839.34999999998</v>
      </c>
      <c r="E11" s="3">
        <v>162918.82999999999</v>
      </c>
      <c r="F11" s="3">
        <v>91883.97</v>
      </c>
      <c r="G11" s="3">
        <v>0</v>
      </c>
    </row>
    <row r="12" spans="1:7" x14ac:dyDescent="0.25">
      <c r="A12" s="2" t="s">
        <v>3327</v>
      </c>
      <c r="B12" s="2" t="s">
        <v>1049</v>
      </c>
      <c r="C12" s="3">
        <v>986745.61</v>
      </c>
      <c r="D12" s="3">
        <v>638351.89</v>
      </c>
      <c r="E12" s="3">
        <v>522061.16</v>
      </c>
      <c r="F12" s="3">
        <v>348344.88</v>
      </c>
      <c r="G12" s="3">
        <v>0</v>
      </c>
    </row>
    <row r="13" spans="1:7" x14ac:dyDescent="0.25">
      <c r="A13" s="2" t="s">
        <v>3326</v>
      </c>
      <c r="B13" s="2" t="s">
        <v>1061</v>
      </c>
      <c r="C13" s="3">
        <v>18799.18</v>
      </c>
      <c r="D13" s="3">
        <v>20512.73</v>
      </c>
      <c r="E13" s="3">
        <v>22012.06</v>
      </c>
      <c r="F13" s="3">
        <v>18063.03</v>
      </c>
      <c r="G13" s="3">
        <v>0</v>
      </c>
    </row>
    <row r="14" spans="1:7" x14ac:dyDescent="0.25">
      <c r="A14" s="2" t="s">
        <v>3325</v>
      </c>
      <c r="B14" s="2" t="s">
        <v>1064</v>
      </c>
      <c r="C14" s="3">
        <v>274895.3</v>
      </c>
      <c r="D14" s="3">
        <v>278717.15000000002</v>
      </c>
      <c r="E14" s="3">
        <v>335828.8</v>
      </c>
      <c r="F14" s="3">
        <v>290327.53999999998</v>
      </c>
      <c r="G14" s="3">
        <v>0</v>
      </c>
    </row>
    <row r="15" spans="1:7" ht="24" x14ac:dyDescent="0.25">
      <c r="A15" s="2" t="s">
        <v>3324</v>
      </c>
      <c r="B15" s="2" t="s">
        <v>1068</v>
      </c>
      <c r="C15" s="3">
        <v>571096.1</v>
      </c>
      <c r="D15" s="3">
        <v>640826.19999999995</v>
      </c>
      <c r="E15" s="3">
        <v>798496.89</v>
      </c>
      <c r="F15" s="3">
        <v>712118.84</v>
      </c>
      <c r="G15" s="3">
        <v>0</v>
      </c>
    </row>
    <row r="16" spans="1:7" x14ac:dyDescent="0.25">
      <c r="A16" s="2" t="s">
        <v>3323</v>
      </c>
      <c r="B16" s="2" t="s">
        <v>1078</v>
      </c>
      <c r="C16" s="3">
        <v>300000</v>
      </c>
      <c r="D16" s="3">
        <v>0</v>
      </c>
      <c r="E16" s="3">
        <v>0</v>
      </c>
      <c r="F16" s="3">
        <v>0</v>
      </c>
      <c r="G16" s="3">
        <v>0</v>
      </c>
    </row>
    <row r="17" spans="1:7" ht="24" x14ac:dyDescent="0.25">
      <c r="A17" s="2" t="s">
        <v>3322</v>
      </c>
      <c r="B17" s="2" t="s">
        <v>1094</v>
      </c>
      <c r="C17" s="3">
        <v>0</v>
      </c>
      <c r="D17" s="3">
        <v>0</v>
      </c>
      <c r="E17" s="3">
        <v>2081265</v>
      </c>
      <c r="F17" s="3">
        <v>2081265</v>
      </c>
      <c r="G17" s="3">
        <v>0</v>
      </c>
    </row>
    <row r="18" spans="1:7" x14ac:dyDescent="0.25">
      <c r="A18" s="2" t="s">
        <v>3321</v>
      </c>
      <c r="B18" s="2" t="s">
        <v>1117</v>
      </c>
      <c r="C18" s="3">
        <v>77010.02</v>
      </c>
      <c r="D18" s="3">
        <v>54052.06</v>
      </c>
      <c r="E18" s="3">
        <v>54992.639999999999</v>
      </c>
      <c r="F18" s="3">
        <v>60914.25</v>
      </c>
      <c r="G18" s="3">
        <v>0</v>
      </c>
    </row>
    <row r="19" spans="1:7" x14ac:dyDescent="0.25">
      <c r="A19" s="2" t="s">
        <v>3320</v>
      </c>
      <c r="B19" s="2" t="s">
        <v>1146</v>
      </c>
      <c r="C19" s="3">
        <v>123305.81</v>
      </c>
      <c r="D19" s="3">
        <v>122099.48</v>
      </c>
      <c r="E19" s="3">
        <v>115584.92</v>
      </c>
      <c r="F19" s="3">
        <v>0.81</v>
      </c>
      <c r="G19" s="3">
        <v>0</v>
      </c>
    </row>
    <row r="20" spans="1:7" ht="24" x14ac:dyDescent="0.25">
      <c r="A20" s="2" t="s">
        <v>3319</v>
      </c>
      <c r="B20" s="2" t="s">
        <v>1160</v>
      </c>
      <c r="C20" s="3">
        <v>13517.35</v>
      </c>
      <c r="D20" s="3">
        <v>45609.84</v>
      </c>
      <c r="E20" s="3">
        <v>18557.310000000001</v>
      </c>
      <c r="F20" s="3">
        <v>11687.82</v>
      </c>
      <c r="G20" s="3">
        <v>0</v>
      </c>
    </row>
    <row r="21" spans="1:7" ht="24" x14ac:dyDescent="0.25">
      <c r="A21" s="2" t="s">
        <v>3318</v>
      </c>
      <c r="B21" s="2" t="s">
        <v>1170</v>
      </c>
      <c r="C21" s="3">
        <v>675.25</v>
      </c>
      <c r="D21" s="3">
        <v>188.9</v>
      </c>
      <c r="E21" s="3">
        <v>31.43</v>
      </c>
      <c r="F21" s="3">
        <v>64.63</v>
      </c>
      <c r="G21" s="3">
        <v>0</v>
      </c>
    </row>
    <row r="22" spans="1:7" x14ac:dyDescent="0.25">
      <c r="A22" s="2" t="s">
        <v>3317</v>
      </c>
      <c r="B22" s="2" t="s">
        <v>1174</v>
      </c>
      <c r="C22" s="3">
        <v>26722.09</v>
      </c>
      <c r="D22" s="3">
        <v>26720.57</v>
      </c>
      <c r="E22" s="3">
        <v>77066.34</v>
      </c>
      <c r="F22" s="3">
        <v>0.21</v>
      </c>
      <c r="G22" s="3">
        <v>0</v>
      </c>
    </row>
    <row r="23" spans="1:7" ht="24" x14ac:dyDescent="0.25">
      <c r="A23" s="2" t="s">
        <v>3316</v>
      </c>
      <c r="B23" s="2" t="s">
        <v>3252</v>
      </c>
      <c r="C23" s="3">
        <v>419929.97</v>
      </c>
      <c r="D23" s="3">
        <v>3552687.73</v>
      </c>
      <c r="E23" s="3">
        <v>565008.56999999995</v>
      </c>
      <c r="F23" s="3">
        <v>19604.37</v>
      </c>
      <c r="G23" s="3">
        <v>0</v>
      </c>
    </row>
    <row r="24" spans="1:7" ht="24" x14ac:dyDescent="0.25">
      <c r="A24" s="2" t="s">
        <v>3315</v>
      </c>
      <c r="B24" s="2" t="s">
        <v>1186</v>
      </c>
      <c r="C24" s="3">
        <v>163827.04</v>
      </c>
      <c r="D24" s="3">
        <v>158814.54999999999</v>
      </c>
      <c r="E24" s="3">
        <v>158802.1</v>
      </c>
      <c r="F24" s="3">
        <v>11804.33</v>
      </c>
      <c r="G24" s="3">
        <v>0</v>
      </c>
    </row>
    <row r="25" spans="1:7" ht="24" x14ac:dyDescent="0.25">
      <c r="A25" s="2" t="s">
        <v>3314</v>
      </c>
      <c r="B25" s="2" t="s">
        <v>1191</v>
      </c>
      <c r="C25" s="3">
        <v>185545.25</v>
      </c>
      <c r="D25" s="3">
        <v>185735.77</v>
      </c>
      <c r="E25" s="3">
        <v>186485.02</v>
      </c>
      <c r="F25" s="3">
        <v>96846.41</v>
      </c>
      <c r="G25" s="3">
        <v>0</v>
      </c>
    </row>
    <row r="26" spans="1:7" ht="24" x14ac:dyDescent="0.25">
      <c r="A26" s="2" t="s">
        <v>3313</v>
      </c>
      <c r="B26" s="2" t="s">
        <v>1195</v>
      </c>
      <c r="C26" s="3">
        <v>424662.97</v>
      </c>
      <c r="D26" s="3">
        <v>571688.02</v>
      </c>
      <c r="E26" s="3">
        <v>843107.88</v>
      </c>
      <c r="F26" s="3">
        <v>529196.61</v>
      </c>
      <c r="G26" s="3">
        <v>0</v>
      </c>
    </row>
    <row r="27" spans="1:7" ht="24" x14ac:dyDescent="0.25">
      <c r="A27" s="2" t="s">
        <v>3312</v>
      </c>
      <c r="B27" s="2" t="s">
        <v>1211</v>
      </c>
      <c r="C27" s="3">
        <v>431151.98</v>
      </c>
      <c r="D27" s="3">
        <v>572050.56999999995</v>
      </c>
      <c r="E27" s="3">
        <v>843586.19</v>
      </c>
      <c r="F27" s="3">
        <v>530737.71</v>
      </c>
      <c r="G27" s="3">
        <v>0</v>
      </c>
    </row>
    <row r="28" spans="1:7" x14ac:dyDescent="0.25">
      <c r="A28" s="2" t="s">
        <v>3366</v>
      </c>
      <c r="B28" s="2" t="s">
        <v>3365</v>
      </c>
      <c r="C28" s="3">
        <v>72.599999999999994</v>
      </c>
      <c r="D28" s="3">
        <v>0</v>
      </c>
      <c r="E28" s="3">
        <v>0</v>
      </c>
      <c r="F28" s="3">
        <v>0</v>
      </c>
      <c r="G28" s="3">
        <v>0</v>
      </c>
    </row>
    <row r="29" spans="1:7" x14ac:dyDescent="0.25">
      <c r="A29" s="2" t="s">
        <v>3311</v>
      </c>
      <c r="B29" s="2" t="s">
        <v>1221</v>
      </c>
      <c r="C29" s="3">
        <v>0</v>
      </c>
      <c r="D29" s="3">
        <v>0</v>
      </c>
      <c r="E29" s="3">
        <v>15662.24</v>
      </c>
      <c r="F29" s="3">
        <v>104946.33</v>
      </c>
      <c r="G29" s="3">
        <v>0</v>
      </c>
    </row>
    <row r="30" spans="1:7" x14ac:dyDescent="0.25">
      <c r="A30" s="2" t="s">
        <v>3364</v>
      </c>
      <c r="B30" s="2" t="s">
        <v>3363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</row>
    <row r="31" spans="1:7" x14ac:dyDescent="0.25">
      <c r="A31" s="2" t="s">
        <v>3361</v>
      </c>
      <c r="B31" s="2" t="s">
        <v>2409</v>
      </c>
      <c r="C31" s="3">
        <v>3.29</v>
      </c>
      <c r="D31" s="3">
        <v>0</v>
      </c>
      <c r="E31" s="3">
        <v>0</v>
      </c>
      <c r="F31" s="3">
        <v>0</v>
      </c>
      <c r="G31" s="3">
        <v>0</v>
      </c>
    </row>
    <row r="32" spans="1:7" x14ac:dyDescent="0.25">
      <c r="A32" s="2" t="s">
        <v>3310</v>
      </c>
      <c r="B32" s="2" t="s">
        <v>1238</v>
      </c>
      <c r="C32" s="3">
        <v>1967058.07</v>
      </c>
      <c r="D32" s="3">
        <v>8895044.3000000007</v>
      </c>
      <c r="E32" s="3">
        <v>2626760.94</v>
      </c>
      <c r="F32" s="3">
        <v>3897604.65</v>
      </c>
      <c r="G32" s="3">
        <v>0</v>
      </c>
    </row>
    <row r="33" spans="1:7" x14ac:dyDescent="0.25">
      <c r="A33" s="2" t="s">
        <v>3309</v>
      </c>
      <c r="B33" s="2" t="s">
        <v>1267</v>
      </c>
      <c r="C33" s="3">
        <v>3764857.91</v>
      </c>
      <c r="D33" s="3">
        <v>4782946.3499999996</v>
      </c>
      <c r="E33" s="3">
        <v>4945048.68</v>
      </c>
      <c r="F33" s="3">
        <v>3871557.61</v>
      </c>
      <c r="G33" s="3">
        <v>0</v>
      </c>
    </row>
    <row r="34" spans="1:7" x14ac:dyDescent="0.25">
      <c r="A34" s="2" t="s">
        <v>3308</v>
      </c>
      <c r="B34" s="2" t="s">
        <v>1467</v>
      </c>
      <c r="C34" s="3">
        <v>5531811.4100000001</v>
      </c>
      <c r="D34" s="3">
        <v>6241348.54</v>
      </c>
      <c r="E34" s="3">
        <v>7170675.2699999996</v>
      </c>
      <c r="F34" s="3">
        <v>5810846.0599999996</v>
      </c>
      <c r="G34" s="3">
        <v>0</v>
      </c>
    </row>
    <row r="35" spans="1:7" ht="24" x14ac:dyDescent="0.25">
      <c r="A35" s="2" t="s">
        <v>3307</v>
      </c>
      <c r="B35" s="2" t="s">
        <v>1644</v>
      </c>
      <c r="C35" s="3">
        <v>1141259.68</v>
      </c>
      <c r="D35" s="3">
        <v>5283552.0999999996</v>
      </c>
      <c r="E35" s="3">
        <v>1568874.74</v>
      </c>
      <c r="F35" s="3">
        <v>397997.5</v>
      </c>
      <c r="G35" s="3">
        <v>0</v>
      </c>
    </row>
    <row r="36" spans="1:7" x14ac:dyDescent="0.25">
      <c r="A36" s="2" t="s">
        <v>3306</v>
      </c>
      <c r="B36" s="2" t="s">
        <v>1691</v>
      </c>
      <c r="C36" s="3">
        <v>0</v>
      </c>
      <c r="D36" s="3">
        <v>0</v>
      </c>
      <c r="E36" s="3">
        <v>881.49</v>
      </c>
      <c r="F36" s="3">
        <v>2168.4899999999998</v>
      </c>
      <c r="G36" s="3">
        <v>0</v>
      </c>
    </row>
    <row r="37" spans="1:7" x14ac:dyDescent="0.25">
      <c r="A37" s="2" t="s">
        <v>3402</v>
      </c>
      <c r="B37" s="2" t="s">
        <v>3034</v>
      </c>
      <c r="C37" s="3">
        <v>20074.849999999999</v>
      </c>
      <c r="D37" s="3">
        <v>5616.23</v>
      </c>
      <c r="E37" s="3">
        <v>1001816.13</v>
      </c>
      <c r="F37" s="3">
        <v>4089.91</v>
      </c>
      <c r="G37" s="3">
        <v>0</v>
      </c>
    </row>
    <row r="38" spans="1:7" x14ac:dyDescent="0.25">
      <c r="A38" s="2" t="s">
        <v>3305</v>
      </c>
      <c r="B38" s="2" t="s">
        <v>1699</v>
      </c>
      <c r="C38" s="3">
        <v>1726474.19</v>
      </c>
      <c r="D38" s="3">
        <v>1624633.58</v>
      </c>
      <c r="E38" s="3">
        <v>1802659.18</v>
      </c>
      <c r="F38" s="3">
        <v>2541420.34</v>
      </c>
      <c r="G38" s="3">
        <v>0</v>
      </c>
    </row>
    <row r="39" spans="1:7" x14ac:dyDescent="0.25">
      <c r="A39" s="2" t="s">
        <v>3304</v>
      </c>
      <c r="B39" s="2" t="s">
        <v>1828</v>
      </c>
      <c r="C39" s="3">
        <v>183962</v>
      </c>
      <c r="D39" s="3">
        <v>175891.81</v>
      </c>
      <c r="E39" s="3">
        <v>189064.54</v>
      </c>
      <c r="F39" s="3">
        <v>215827.27</v>
      </c>
      <c r="G39" s="3">
        <v>0</v>
      </c>
    </row>
    <row r="40" spans="1:7" ht="24" x14ac:dyDescent="0.25">
      <c r="A40" s="2" t="s">
        <v>3303</v>
      </c>
      <c r="B40" s="2" t="s">
        <v>1846</v>
      </c>
      <c r="C40" s="3">
        <v>61836.3</v>
      </c>
      <c r="D40" s="3">
        <v>54269.27</v>
      </c>
      <c r="E40" s="3">
        <v>55367.41</v>
      </c>
      <c r="F40" s="3">
        <v>34547.120000000003</v>
      </c>
      <c r="G40" s="3">
        <v>0</v>
      </c>
    </row>
    <row r="41" spans="1:7" ht="24" x14ac:dyDescent="0.25">
      <c r="A41" s="2" t="s">
        <v>3302</v>
      </c>
      <c r="B41" s="2" t="s">
        <v>1854</v>
      </c>
      <c r="C41" s="3">
        <v>0</v>
      </c>
      <c r="D41" s="3">
        <v>3695000</v>
      </c>
      <c r="E41" s="3">
        <v>0</v>
      </c>
      <c r="F41" s="3">
        <v>0</v>
      </c>
      <c r="G41" s="3">
        <v>0</v>
      </c>
    </row>
    <row r="42" spans="1:7" x14ac:dyDescent="0.25">
      <c r="A42" s="2" t="s">
        <v>3301</v>
      </c>
      <c r="B42" s="2" t="s">
        <v>1860</v>
      </c>
      <c r="C42" s="3">
        <v>0</v>
      </c>
      <c r="D42" s="3">
        <v>1642500</v>
      </c>
      <c r="E42" s="3">
        <v>0</v>
      </c>
      <c r="F42" s="3">
        <v>0</v>
      </c>
      <c r="G42" s="3">
        <v>0</v>
      </c>
    </row>
    <row r="43" spans="1:7" ht="24" x14ac:dyDescent="0.25">
      <c r="A43" s="2" t="s">
        <v>3300</v>
      </c>
      <c r="B43" s="2" t="s">
        <v>1866</v>
      </c>
      <c r="C43" s="3">
        <v>0</v>
      </c>
      <c r="D43" s="3">
        <v>19010525.690000001</v>
      </c>
      <c r="E43" s="3">
        <v>13139265.529999999</v>
      </c>
      <c r="F43" s="3">
        <v>1835421.2</v>
      </c>
      <c r="G43" s="3">
        <v>0</v>
      </c>
    </row>
    <row r="44" spans="1:7" ht="24" x14ac:dyDescent="0.25">
      <c r="A44" s="2" t="s">
        <v>3299</v>
      </c>
      <c r="B44" s="2" t="s">
        <v>41</v>
      </c>
      <c r="C44" s="3">
        <v>347482.17</v>
      </c>
      <c r="D44" s="3">
        <v>300950.53000000003</v>
      </c>
      <c r="E44" s="3">
        <v>273225.36</v>
      </c>
      <c r="F44" s="3">
        <v>223423.62</v>
      </c>
      <c r="G44" s="3">
        <v>0</v>
      </c>
    </row>
    <row r="45" spans="1:7" x14ac:dyDescent="0.25">
      <c r="A45" s="2" t="s">
        <v>3298</v>
      </c>
      <c r="B45" s="2" t="s">
        <v>1898</v>
      </c>
      <c r="C45" s="3">
        <v>904559.46</v>
      </c>
      <c r="D45" s="3">
        <v>938069.98</v>
      </c>
      <c r="E45" s="3">
        <v>1301843.6599999999</v>
      </c>
      <c r="F45" s="3">
        <v>680973.68</v>
      </c>
      <c r="G45" s="3">
        <v>0</v>
      </c>
    </row>
    <row r="46" spans="1:7" x14ac:dyDescent="0.25">
      <c r="A46" s="2" t="s">
        <v>3297</v>
      </c>
      <c r="B46" s="2" t="s">
        <v>2000</v>
      </c>
      <c r="C46" s="3">
        <v>231328.25</v>
      </c>
      <c r="D46" s="3">
        <v>153590.82</v>
      </c>
      <c r="E46" s="3">
        <v>132521.04999999999</v>
      </c>
      <c r="F46" s="3">
        <v>60316.94</v>
      </c>
      <c r="G46" s="3">
        <v>0</v>
      </c>
    </row>
    <row r="47" spans="1:7" x14ac:dyDescent="0.25">
      <c r="A47" s="2" t="s">
        <v>3296</v>
      </c>
      <c r="B47" s="2" t="s">
        <v>2015</v>
      </c>
      <c r="C47" s="3">
        <v>21530.37</v>
      </c>
      <c r="D47" s="3">
        <v>13613.92</v>
      </c>
      <c r="E47" s="3">
        <v>8953.64</v>
      </c>
      <c r="F47" s="3">
        <v>396.38</v>
      </c>
      <c r="G47" s="3">
        <v>0</v>
      </c>
    </row>
    <row r="48" spans="1:7" x14ac:dyDescent="0.25">
      <c r="A48" s="53" t="s">
        <v>3295</v>
      </c>
      <c r="B48" s="1" t="s">
        <v>2</v>
      </c>
      <c r="C48" s="4">
        <v>34871397.409999996</v>
      </c>
      <c r="D48" s="4">
        <v>74863693.819999993</v>
      </c>
      <c r="E48" s="4">
        <v>59601885.990000002</v>
      </c>
      <c r="F48" s="4">
        <v>36292210.07</v>
      </c>
      <c r="G48" s="4">
        <v>0</v>
      </c>
    </row>
  </sheetData>
  <pageMargins left="0.5" right="0.5" top="0.5" bottom="0.9" header="0.5" footer="0.5"/>
  <pageSetup orientation="landscape" horizontalDpi="300" verticalDpi="300" r:id="rId1"/>
  <headerFooter alignWithMargins="0">
    <oddFooter>&amp;L&amp;"Tahoma,Regular"&amp;8 Printed by CITYOFFERNDALE\\RachelMoothart on 10/5/2022 12:28:48 PM &amp;C&amp;"Tahoma,Regular"&amp;8 Ferndale - Estimated Revenue - Actual &amp;R&amp;"Tahoma,Regular"&amp;8 Page 2 of 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F1241-9CB7-445F-98FD-5E936B55678E}">
  <sheetPr>
    <tabColor rgb="FF92D050"/>
    <pageSetUpPr fitToPage="1"/>
  </sheetPr>
  <dimension ref="A1:T151"/>
  <sheetViews>
    <sheetView zoomScale="80" zoomScaleNormal="80" workbookViewId="0">
      <pane ySplit="6" topLeftCell="A7" activePane="bottomLeft" state="frozen"/>
      <selection activeCell="C5" sqref="C5"/>
      <selection pane="bottomLeft" activeCell="C5" sqref="C5"/>
    </sheetView>
  </sheetViews>
  <sheetFormatPr defaultColWidth="9.140625" defaultRowHeight="15" x14ac:dyDescent="0.25"/>
  <cols>
    <col min="1" max="1" width="48.28515625" style="129" bestFit="1" customWidth="1"/>
    <col min="2" max="2" width="12.28515625" style="128" customWidth="1"/>
    <col min="3" max="3" width="12" style="125" customWidth="1"/>
    <col min="4" max="4" width="14" style="127" customWidth="1"/>
    <col min="5" max="8" width="14" style="126" customWidth="1"/>
    <col min="9" max="9" width="11.5703125" style="125" customWidth="1"/>
    <col min="10" max="10" width="14.85546875" style="124" customWidth="1"/>
    <col min="11" max="11" width="13.5703125" style="123" customWidth="1"/>
    <col min="12" max="12" width="11.42578125" style="123" customWidth="1"/>
    <col min="13" max="14" width="10.85546875" style="123" hidden="1" customWidth="1"/>
    <col min="15" max="15" width="10.5703125" style="123" hidden="1" customWidth="1"/>
    <col min="16" max="16" width="10.85546875" style="123" hidden="1" customWidth="1"/>
    <col min="17" max="17" width="11.42578125" style="123" hidden="1" customWidth="1"/>
    <col min="18" max="18" width="37.28515625" style="123" customWidth="1"/>
    <col min="19" max="19" width="40.140625" style="123" customWidth="1"/>
    <col min="20" max="20" width="9.140625" style="123"/>
    <col min="21" max="16384" width="9.140625" style="118"/>
  </cols>
  <sheetData>
    <row r="1" spans="1:20" x14ac:dyDescent="0.25">
      <c r="B1" s="124"/>
      <c r="C1" s="124"/>
      <c r="D1" s="179"/>
      <c r="E1" s="118"/>
      <c r="F1" s="118"/>
      <c r="G1" s="118"/>
      <c r="H1" s="118"/>
      <c r="I1" s="124"/>
      <c r="L1" s="118"/>
      <c r="M1" s="118"/>
      <c r="N1" s="118"/>
      <c r="O1" s="118"/>
      <c r="P1" s="118"/>
      <c r="Q1" s="118"/>
      <c r="R1" s="118"/>
      <c r="S1" s="118"/>
      <c r="T1" s="118"/>
    </row>
    <row r="2" spans="1:20" x14ac:dyDescent="0.25">
      <c r="A2" s="155" t="s">
        <v>3986</v>
      </c>
      <c r="B2" s="124"/>
      <c r="C2" s="124"/>
      <c r="D2" s="179"/>
      <c r="E2" s="118"/>
      <c r="F2" s="118"/>
      <c r="G2" s="118"/>
      <c r="H2" s="118"/>
      <c r="I2" s="124"/>
      <c r="L2" s="118"/>
      <c r="M2" s="118"/>
      <c r="N2" s="118"/>
      <c r="O2" s="118"/>
      <c r="P2" s="118"/>
      <c r="Q2" s="118"/>
      <c r="R2" s="118"/>
      <c r="S2" s="118"/>
      <c r="T2" s="118"/>
    </row>
    <row r="3" spans="1:20" x14ac:dyDescent="0.25">
      <c r="A3" s="155" t="s">
        <v>3985</v>
      </c>
      <c r="B3" s="124"/>
      <c r="C3" s="124"/>
      <c r="D3" s="179"/>
      <c r="E3" s="118"/>
      <c r="F3" s="118"/>
      <c r="G3" s="118"/>
      <c r="H3" s="118"/>
      <c r="I3" s="124"/>
      <c r="L3" s="118"/>
      <c r="M3" s="118"/>
      <c r="N3" s="118"/>
      <c r="O3" s="118"/>
      <c r="P3" s="118"/>
      <c r="Q3" s="118"/>
      <c r="R3" s="118"/>
      <c r="S3" s="118"/>
      <c r="T3" s="118"/>
    </row>
    <row r="4" spans="1:20" ht="15.75" x14ac:dyDescent="0.25">
      <c r="A4" s="240" t="s">
        <v>3984</v>
      </c>
      <c r="B4" s="124"/>
      <c r="C4" s="124"/>
      <c r="D4" s="179"/>
      <c r="E4" s="118"/>
      <c r="F4" s="118"/>
      <c r="G4" s="118"/>
      <c r="H4" s="118"/>
      <c r="I4" s="124"/>
      <c r="L4" s="118"/>
      <c r="M4" s="118"/>
      <c r="N4" s="118"/>
      <c r="O4" s="118"/>
      <c r="P4" s="118"/>
      <c r="Q4" s="118"/>
      <c r="R4" s="118"/>
      <c r="S4" s="118"/>
      <c r="T4" s="118"/>
    </row>
    <row r="5" spans="1:20" ht="15.75" thickBot="1" x14ac:dyDescent="0.3">
      <c r="B5" s="237"/>
      <c r="C5" s="237"/>
      <c r="D5" s="239"/>
      <c r="E5" s="238"/>
      <c r="F5" s="238"/>
      <c r="G5" s="238"/>
      <c r="H5" s="238"/>
      <c r="I5" s="237"/>
      <c r="J5" s="237"/>
      <c r="K5" s="236"/>
      <c r="L5" s="118"/>
      <c r="M5" s="118"/>
      <c r="N5" s="118"/>
      <c r="O5" s="118"/>
      <c r="P5" s="118"/>
      <c r="Q5" s="118"/>
      <c r="R5" s="118"/>
      <c r="S5" s="118"/>
      <c r="T5" s="118"/>
    </row>
    <row r="6" spans="1:20" ht="32.25" thickBot="1" x14ac:dyDescent="0.3">
      <c r="A6" s="235" t="s">
        <v>1</v>
      </c>
      <c r="B6" s="229" t="s">
        <v>3983</v>
      </c>
      <c r="C6" s="234" t="s">
        <v>3982</v>
      </c>
      <c r="D6" s="233" t="s">
        <v>3981</v>
      </c>
      <c r="E6" s="232" t="s">
        <v>3980</v>
      </c>
      <c r="F6" s="232" t="s">
        <v>3979</v>
      </c>
      <c r="G6" s="232" t="s">
        <v>3978</v>
      </c>
      <c r="H6" s="232" t="s">
        <v>3977</v>
      </c>
      <c r="I6" s="231" t="s">
        <v>3976</v>
      </c>
      <c r="J6" s="230" t="s">
        <v>3975</v>
      </c>
      <c r="K6" s="229" t="s">
        <v>3974</v>
      </c>
      <c r="L6" s="228">
        <v>2023</v>
      </c>
      <c r="M6" s="227">
        <v>2024</v>
      </c>
      <c r="N6" s="227">
        <v>2025</v>
      </c>
      <c r="O6" s="227">
        <v>2026</v>
      </c>
      <c r="P6" s="227">
        <v>2027</v>
      </c>
      <c r="Q6" s="226">
        <v>2028</v>
      </c>
      <c r="R6" s="225" t="s">
        <v>3973</v>
      </c>
      <c r="S6" s="224" t="s">
        <v>3972</v>
      </c>
    </row>
    <row r="7" spans="1:20" ht="21.6" customHeight="1" x14ac:dyDescent="0.25">
      <c r="A7" s="223" t="s">
        <v>3971</v>
      </c>
      <c r="B7" s="222"/>
      <c r="C7" s="163"/>
      <c r="D7" s="221"/>
      <c r="E7" s="163"/>
      <c r="F7" s="163"/>
      <c r="G7" s="163"/>
      <c r="H7" s="163"/>
      <c r="I7" s="163"/>
      <c r="J7" s="220"/>
      <c r="K7" s="219"/>
      <c r="L7" s="218"/>
      <c r="M7" s="217"/>
      <c r="N7" s="216"/>
      <c r="O7" s="215"/>
      <c r="P7" s="214"/>
      <c r="Q7" s="213"/>
      <c r="R7" s="118"/>
    </row>
    <row r="8" spans="1:20" x14ac:dyDescent="0.25">
      <c r="A8" s="199" t="s">
        <v>3970</v>
      </c>
      <c r="B8" s="128" t="s">
        <v>3969</v>
      </c>
      <c r="C8" s="125">
        <v>2000</v>
      </c>
      <c r="E8" s="126">
        <v>0.25</v>
      </c>
      <c r="F8" s="126">
        <v>0.25</v>
      </c>
      <c r="G8" s="126">
        <v>0.25</v>
      </c>
      <c r="H8" s="126">
        <v>0.25</v>
      </c>
      <c r="I8" s="125">
        <v>30</v>
      </c>
      <c r="J8" s="124">
        <v>2020</v>
      </c>
      <c r="L8" s="202">
        <v>250000</v>
      </c>
      <c r="M8" s="185"/>
      <c r="N8" s="127"/>
      <c r="O8" s="186"/>
      <c r="P8" s="179"/>
      <c r="Q8" s="178"/>
      <c r="R8" s="118" t="s">
        <v>3968</v>
      </c>
      <c r="S8" s="184" t="s">
        <v>3967</v>
      </c>
    </row>
    <row r="9" spans="1:20" x14ac:dyDescent="0.25">
      <c r="A9" s="199" t="s">
        <v>3882</v>
      </c>
      <c r="B9" s="128" t="s">
        <v>3966</v>
      </c>
      <c r="C9" s="125">
        <v>2016</v>
      </c>
      <c r="D9" s="127">
        <v>60000</v>
      </c>
      <c r="E9" s="126">
        <v>0.25</v>
      </c>
      <c r="F9" s="126">
        <v>0.25</v>
      </c>
      <c r="G9" s="126">
        <v>0.25</v>
      </c>
      <c r="H9" s="126">
        <v>0.25</v>
      </c>
      <c r="I9" s="125">
        <v>30</v>
      </c>
      <c r="J9" s="124">
        <v>2034</v>
      </c>
      <c r="L9" s="191"/>
      <c r="M9" s="185"/>
      <c r="N9" s="127"/>
      <c r="O9" s="186">
        <v>250000</v>
      </c>
      <c r="P9" s="179"/>
      <c r="Q9" s="178"/>
      <c r="R9" s="118" t="s">
        <v>3880</v>
      </c>
      <c r="S9" s="184" t="s">
        <v>3830</v>
      </c>
    </row>
    <row r="10" spans="1:20" x14ac:dyDescent="0.25">
      <c r="A10" s="199" t="s">
        <v>3931</v>
      </c>
      <c r="B10" s="128" t="s">
        <v>3965</v>
      </c>
      <c r="C10" s="125">
        <v>2015</v>
      </c>
      <c r="E10" s="126">
        <v>0.5</v>
      </c>
      <c r="H10" s="126">
        <v>0.5</v>
      </c>
      <c r="I10" s="125">
        <v>7</v>
      </c>
      <c r="J10" s="124">
        <v>2022</v>
      </c>
      <c r="L10" s="191"/>
      <c r="M10" s="185"/>
      <c r="N10" s="127"/>
      <c r="O10" s="186"/>
      <c r="P10" s="179"/>
      <c r="Q10" s="178"/>
      <c r="R10" s="118" t="s">
        <v>3964</v>
      </c>
      <c r="S10" s="184" t="s">
        <v>3963</v>
      </c>
    </row>
    <row r="11" spans="1:20" x14ac:dyDescent="0.25">
      <c r="A11" s="199" t="s">
        <v>3962</v>
      </c>
      <c r="B11" s="128" t="s">
        <v>3961</v>
      </c>
      <c r="C11" s="125">
        <v>2007</v>
      </c>
      <c r="E11" s="126">
        <v>0.25</v>
      </c>
      <c r="F11" s="126">
        <v>0.25</v>
      </c>
      <c r="G11" s="126">
        <v>0.25</v>
      </c>
      <c r="H11" s="126">
        <v>0.25</v>
      </c>
      <c r="I11" s="125">
        <v>10</v>
      </c>
      <c r="J11" s="124">
        <v>2017</v>
      </c>
      <c r="K11" s="188"/>
      <c r="L11" s="191"/>
      <c r="M11" s="185"/>
      <c r="N11" s="127"/>
      <c r="O11" s="186"/>
      <c r="P11" s="179"/>
      <c r="Q11" s="178"/>
      <c r="R11" s="118" t="s">
        <v>3960</v>
      </c>
      <c r="S11" s="184" t="s">
        <v>3959</v>
      </c>
    </row>
    <row r="12" spans="1:20" x14ac:dyDescent="0.25">
      <c r="A12" s="199" t="s">
        <v>3958</v>
      </c>
      <c r="B12" s="128" t="s">
        <v>3957</v>
      </c>
      <c r="C12" s="125">
        <v>2007</v>
      </c>
      <c r="E12" s="126">
        <v>0.25</v>
      </c>
      <c r="F12" s="126">
        <v>0.25</v>
      </c>
      <c r="G12" s="126">
        <v>0.25</v>
      </c>
      <c r="H12" s="126">
        <v>0.25</v>
      </c>
      <c r="I12" s="125">
        <v>10</v>
      </c>
      <c r="J12" s="124">
        <v>2017</v>
      </c>
      <c r="K12" s="188"/>
      <c r="L12" s="191"/>
      <c r="M12" s="185"/>
      <c r="N12" s="127"/>
      <c r="O12" s="186"/>
      <c r="P12" s="179"/>
      <c r="Q12" s="178"/>
      <c r="R12" s="118" t="s">
        <v>3956</v>
      </c>
      <c r="S12" s="184" t="s">
        <v>3955</v>
      </c>
    </row>
    <row r="13" spans="1:20" x14ac:dyDescent="0.25">
      <c r="A13" s="199" t="s">
        <v>3927</v>
      </c>
      <c r="B13" s="128" t="s">
        <v>3954</v>
      </c>
      <c r="C13" s="125">
        <v>2005</v>
      </c>
      <c r="E13" s="126">
        <v>0.5</v>
      </c>
      <c r="F13" s="126">
        <v>0.5</v>
      </c>
      <c r="I13" s="125">
        <v>10</v>
      </c>
      <c r="J13" s="124">
        <v>2015</v>
      </c>
      <c r="K13" s="188"/>
      <c r="L13" s="191"/>
      <c r="M13" s="185"/>
      <c r="N13" s="127"/>
      <c r="O13" s="186"/>
      <c r="P13" s="179"/>
      <c r="Q13" s="178"/>
      <c r="R13" s="118" t="s">
        <v>3865</v>
      </c>
      <c r="S13" s="184" t="s">
        <v>3953</v>
      </c>
    </row>
    <row r="14" spans="1:20" x14ac:dyDescent="0.25">
      <c r="A14" s="199" t="s">
        <v>3952</v>
      </c>
      <c r="B14" s="212" t="s">
        <v>3951</v>
      </c>
      <c r="C14" s="125">
        <v>2008</v>
      </c>
      <c r="E14" s="126">
        <v>0.25</v>
      </c>
      <c r="F14" s="126">
        <v>0.25</v>
      </c>
      <c r="G14" s="126">
        <v>0.25</v>
      </c>
      <c r="H14" s="126">
        <v>0.25</v>
      </c>
      <c r="I14" s="125">
        <v>10</v>
      </c>
      <c r="J14" s="124">
        <v>2018</v>
      </c>
      <c r="L14" s="191"/>
      <c r="M14" s="185"/>
      <c r="N14" s="127"/>
      <c r="O14" s="186"/>
      <c r="P14" s="179"/>
      <c r="Q14" s="178"/>
      <c r="R14" s="118" t="s">
        <v>3950</v>
      </c>
      <c r="S14" s="184" t="s">
        <v>3949</v>
      </c>
    </row>
    <row r="15" spans="1:20" x14ac:dyDescent="0.25">
      <c r="A15" s="199" t="s">
        <v>3948</v>
      </c>
      <c r="B15" s="128" t="s">
        <v>3947</v>
      </c>
      <c r="C15" s="125">
        <v>1998</v>
      </c>
      <c r="E15" s="126">
        <v>0.25</v>
      </c>
      <c r="F15" s="126">
        <v>0.25</v>
      </c>
      <c r="G15" s="126">
        <v>0.25</v>
      </c>
      <c r="H15" s="126">
        <v>0.25</v>
      </c>
      <c r="I15" s="125">
        <v>10</v>
      </c>
      <c r="J15" s="124">
        <v>2008</v>
      </c>
      <c r="K15" s="188"/>
      <c r="L15" s="191"/>
      <c r="M15" s="185"/>
      <c r="N15" s="127"/>
      <c r="O15" s="186"/>
      <c r="P15" s="179"/>
      <c r="Q15" s="178"/>
      <c r="R15" s="118" t="s">
        <v>3946</v>
      </c>
      <c r="S15" s="184" t="s">
        <v>3945</v>
      </c>
    </row>
    <row r="16" spans="1:20" x14ac:dyDescent="0.25">
      <c r="A16" s="199" t="s">
        <v>3914</v>
      </c>
      <c r="B16" s="128" t="s">
        <v>3944</v>
      </c>
      <c r="K16" s="188"/>
      <c r="L16" s="156"/>
      <c r="M16" s="143"/>
      <c r="N16" s="142"/>
      <c r="O16" s="186"/>
      <c r="P16" s="140"/>
      <c r="Q16" s="139"/>
      <c r="R16" s="118" t="s">
        <v>3943</v>
      </c>
      <c r="S16" s="184"/>
    </row>
    <row r="17" spans="1:19" x14ac:dyDescent="0.25">
      <c r="A17" s="199" t="s">
        <v>3942</v>
      </c>
      <c r="B17" s="128" t="s">
        <v>3941</v>
      </c>
      <c r="C17" s="125">
        <v>2012</v>
      </c>
      <c r="E17" s="126">
        <v>0.75</v>
      </c>
      <c r="F17" s="126">
        <v>0.1</v>
      </c>
      <c r="H17" s="126">
        <v>0.15</v>
      </c>
      <c r="I17" s="125">
        <v>10</v>
      </c>
      <c r="J17" s="124">
        <v>2023</v>
      </c>
      <c r="L17" s="202">
        <v>125000</v>
      </c>
      <c r="M17" s="185"/>
      <c r="N17" s="127"/>
      <c r="O17" s="186"/>
      <c r="P17" s="179"/>
      <c r="Q17" s="178"/>
      <c r="R17" s="118" t="s">
        <v>3940</v>
      </c>
      <c r="S17" s="184" t="s">
        <v>3939</v>
      </c>
    </row>
    <row r="18" spans="1:19" x14ac:dyDescent="0.25">
      <c r="A18" s="199" t="s">
        <v>3938</v>
      </c>
      <c r="B18" s="128" t="s">
        <v>3937</v>
      </c>
      <c r="C18" s="125">
        <v>2013</v>
      </c>
      <c r="I18" s="125">
        <v>10</v>
      </c>
      <c r="J18" s="124">
        <v>2017</v>
      </c>
      <c r="K18" s="188"/>
      <c r="L18" s="208"/>
      <c r="M18" s="207"/>
      <c r="N18" s="142"/>
      <c r="O18" s="141"/>
      <c r="P18" s="140"/>
      <c r="Q18" s="139"/>
      <c r="R18" s="118" t="s">
        <v>3936</v>
      </c>
      <c r="S18" s="184" t="s">
        <v>3935</v>
      </c>
    </row>
    <row r="19" spans="1:19" x14ac:dyDescent="0.25">
      <c r="A19" s="199" t="s">
        <v>3934</v>
      </c>
      <c r="B19" s="128" t="s">
        <v>3933</v>
      </c>
      <c r="C19" s="125">
        <v>2015</v>
      </c>
      <c r="I19" s="125">
        <v>15</v>
      </c>
      <c r="J19" s="124">
        <v>2030</v>
      </c>
      <c r="L19" s="191"/>
      <c r="M19" s="185"/>
      <c r="N19" s="127"/>
      <c r="O19" s="186">
        <v>45000</v>
      </c>
      <c r="P19" s="179"/>
      <c r="Q19" s="178"/>
      <c r="R19" s="118" t="s">
        <v>3932</v>
      </c>
      <c r="S19" s="184" t="s">
        <v>3911</v>
      </c>
    </row>
    <row r="20" spans="1:19" x14ac:dyDescent="0.25">
      <c r="A20" s="199" t="s">
        <v>3931</v>
      </c>
      <c r="B20" s="128" t="s">
        <v>3930</v>
      </c>
      <c r="C20" s="125">
        <v>2015</v>
      </c>
      <c r="E20" s="126">
        <v>0.5</v>
      </c>
      <c r="F20" s="126">
        <v>0.25</v>
      </c>
      <c r="H20" s="126">
        <v>0.25</v>
      </c>
      <c r="I20" s="125">
        <v>7</v>
      </c>
      <c r="J20" s="124">
        <v>2022</v>
      </c>
      <c r="L20" s="191"/>
      <c r="M20" s="185"/>
      <c r="N20" s="127"/>
      <c r="O20" s="186"/>
      <c r="P20" s="179"/>
      <c r="Q20" s="178"/>
      <c r="R20" s="118" t="s">
        <v>3929</v>
      </c>
      <c r="S20" s="184" t="s">
        <v>3928</v>
      </c>
    </row>
    <row r="21" spans="1:19" x14ac:dyDescent="0.25">
      <c r="A21" s="199" t="s">
        <v>3927</v>
      </c>
      <c r="B21" s="128" t="s">
        <v>3926</v>
      </c>
      <c r="C21" s="125">
        <v>2005</v>
      </c>
      <c r="E21" s="126">
        <v>0.5</v>
      </c>
      <c r="F21" s="126">
        <v>0.25</v>
      </c>
      <c r="H21" s="126">
        <v>0.25</v>
      </c>
      <c r="I21" s="125">
        <v>10</v>
      </c>
      <c r="J21" s="124">
        <v>2015</v>
      </c>
      <c r="K21" s="188"/>
      <c r="L21" s="202">
        <v>45000</v>
      </c>
      <c r="M21" s="185"/>
      <c r="N21" s="127"/>
      <c r="O21" s="186"/>
      <c r="P21" s="179"/>
      <c r="Q21" s="178"/>
      <c r="R21" s="118" t="s">
        <v>3925</v>
      </c>
      <c r="S21" s="184" t="s">
        <v>3924</v>
      </c>
    </row>
    <row r="22" spans="1:19" x14ac:dyDescent="0.25">
      <c r="A22" s="199" t="s">
        <v>3923</v>
      </c>
      <c r="B22" s="128" t="s">
        <v>3922</v>
      </c>
      <c r="C22" s="125">
        <v>2010</v>
      </c>
      <c r="I22" s="125">
        <v>10</v>
      </c>
      <c r="J22" s="124">
        <v>2018</v>
      </c>
      <c r="L22" s="191"/>
      <c r="M22" s="185"/>
      <c r="N22" s="127"/>
      <c r="O22" s="186"/>
      <c r="P22" s="179"/>
      <c r="Q22" s="178"/>
      <c r="R22" s="118" t="s">
        <v>3711</v>
      </c>
      <c r="S22" s="184" t="s">
        <v>3868</v>
      </c>
    </row>
    <row r="23" spans="1:19" x14ac:dyDescent="0.25">
      <c r="A23" s="199" t="s">
        <v>3905</v>
      </c>
      <c r="B23" s="128" t="s">
        <v>3921</v>
      </c>
      <c r="C23" s="125">
        <v>2013</v>
      </c>
      <c r="E23" s="126">
        <v>0.5</v>
      </c>
      <c r="F23" s="126">
        <v>0.5</v>
      </c>
      <c r="I23" s="125">
        <v>10</v>
      </c>
      <c r="J23" s="124">
        <v>2029</v>
      </c>
      <c r="K23" s="188"/>
      <c r="L23" s="191"/>
      <c r="M23" s="185"/>
      <c r="N23" s="127"/>
      <c r="O23" s="186"/>
      <c r="P23" s="179"/>
      <c r="Q23" s="178"/>
      <c r="R23" s="118" t="s">
        <v>3920</v>
      </c>
      <c r="S23" s="184" t="s">
        <v>3919</v>
      </c>
    </row>
    <row r="24" spans="1:19" x14ac:dyDescent="0.25">
      <c r="A24" s="199" t="s">
        <v>3918</v>
      </c>
      <c r="B24" s="128" t="s">
        <v>3917</v>
      </c>
      <c r="C24" s="125">
        <v>2017</v>
      </c>
      <c r="I24" s="211">
        <v>15</v>
      </c>
      <c r="J24" s="210">
        <v>2030</v>
      </c>
      <c r="K24" s="209"/>
      <c r="L24" s="208"/>
      <c r="M24" s="207">
        <v>45000</v>
      </c>
      <c r="N24" s="206"/>
      <c r="O24" s="205"/>
      <c r="P24" s="204"/>
      <c r="Q24" s="203"/>
      <c r="R24" s="118" t="s">
        <v>3916</v>
      </c>
      <c r="S24" s="184" t="s">
        <v>3915</v>
      </c>
    </row>
    <row r="25" spans="1:19" x14ac:dyDescent="0.25">
      <c r="A25" s="199" t="s">
        <v>3914</v>
      </c>
      <c r="B25" s="125" t="s">
        <v>3913</v>
      </c>
      <c r="C25" s="125">
        <v>2005</v>
      </c>
      <c r="I25" s="125">
        <v>10</v>
      </c>
      <c r="J25" s="124">
        <v>2015</v>
      </c>
      <c r="K25" s="188"/>
      <c r="L25" s="202">
        <v>40000</v>
      </c>
      <c r="M25" s="185"/>
      <c r="N25" s="127"/>
      <c r="O25" s="186"/>
      <c r="P25" s="179"/>
      <c r="Q25" s="178"/>
      <c r="R25" s="118" t="s">
        <v>3912</v>
      </c>
      <c r="S25" s="184" t="s">
        <v>3911</v>
      </c>
    </row>
    <row r="26" spans="1:19" x14ac:dyDescent="0.25">
      <c r="A26" s="199" t="s">
        <v>3910</v>
      </c>
      <c r="B26" s="201" t="s">
        <v>3909</v>
      </c>
      <c r="C26" s="200" t="s">
        <v>3908</v>
      </c>
      <c r="F26" s="126">
        <v>0.5</v>
      </c>
      <c r="G26" s="126">
        <v>0.5</v>
      </c>
      <c r="I26" s="125">
        <v>20</v>
      </c>
      <c r="J26" s="124">
        <v>2019</v>
      </c>
      <c r="L26" s="191"/>
      <c r="M26" s="185"/>
      <c r="N26" s="127"/>
      <c r="O26" s="186"/>
      <c r="P26" s="179"/>
      <c r="Q26" s="178"/>
      <c r="R26" s="118" t="s">
        <v>3907</v>
      </c>
      <c r="S26" s="184" t="s">
        <v>3906</v>
      </c>
    </row>
    <row r="27" spans="1:19" x14ac:dyDescent="0.25">
      <c r="A27" s="199" t="s">
        <v>3905</v>
      </c>
      <c r="B27" s="125" t="s">
        <v>3904</v>
      </c>
      <c r="C27" s="125">
        <v>2014</v>
      </c>
      <c r="D27" s="127">
        <v>35000</v>
      </c>
      <c r="E27" s="126">
        <v>0.25</v>
      </c>
      <c r="F27" s="126">
        <v>0.25</v>
      </c>
      <c r="G27" s="126">
        <v>0.25</v>
      </c>
      <c r="H27" s="126">
        <v>0.25</v>
      </c>
      <c r="I27" s="125">
        <v>10</v>
      </c>
      <c r="J27" s="124">
        <v>2024</v>
      </c>
      <c r="L27" s="191"/>
      <c r="M27" s="185">
        <v>45000</v>
      </c>
      <c r="N27" s="127"/>
      <c r="O27" s="186"/>
      <c r="P27" s="179"/>
      <c r="Q27" s="178"/>
      <c r="R27" s="118" t="s">
        <v>3903</v>
      </c>
      <c r="S27" s="184" t="s">
        <v>3902</v>
      </c>
    </row>
    <row r="28" spans="1:19" x14ac:dyDescent="0.25">
      <c r="A28" s="199" t="s">
        <v>3901</v>
      </c>
      <c r="B28" s="125" t="s">
        <v>3900</v>
      </c>
      <c r="C28" s="125">
        <v>2016</v>
      </c>
      <c r="D28" s="127">
        <v>25000</v>
      </c>
      <c r="I28" s="125">
        <v>10</v>
      </c>
      <c r="J28" s="124">
        <v>2022</v>
      </c>
      <c r="L28" s="191"/>
      <c r="M28" s="185"/>
      <c r="N28" s="127">
        <v>45000</v>
      </c>
      <c r="O28" s="186"/>
      <c r="P28" s="179"/>
      <c r="Q28" s="178"/>
      <c r="R28" s="118" t="s">
        <v>3899</v>
      </c>
      <c r="S28" s="184" t="s">
        <v>3898</v>
      </c>
    </row>
    <row r="29" spans="1:19" x14ac:dyDescent="0.25">
      <c r="A29" s="199" t="s">
        <v>3897</v>
      </c>
      <c r="B29" s="125" t="s">
        <v>3896</v>
      </c>
      <c r="C29" s="125">
        <v>2016</v>
      </c>
      <c r="D29" s="127">
        <v>65000</v>
      </c>
      <c r="E29" s="126">
        <v>0.5</v>
      </c>
      <c r="G29" s="126">
        <v>0.25</v>
      </c>
      <c r="H29" s="126">
        <v>0.25</v>
      </c>
      <c r="I29" s="125">
        <v>10</v>
      </c>
      <c r="J29" s="124">
        <v>2027</v>
      </c>
      <c r="L29" s="191"/>
      <c r="M29" s="185"/>
      <c r="N29" s="127"/>
      <c r="O29" s="186"/>
      <c r="P29" s="179">
        <v>75000</v>
      </c>
      <c r="Q29" s="178"/>
      <c r="R29" s="118" t="s">
        <v>3895</v>
      </c>
      <c r="S29" s="184" t="s">
        <v>3830</v>
      </c>
    </row>
    <row r="30" spans="1:19" x14ac:dyDescent="0.25">
      <c r="A30" s="199" t="s">
        <v>3894</v>
      </c>
      <c r="B30" s="125" t="s">
        <v>3893</v>
      </c>
      <c r="C30" s="125">
        <v>2015</v>
      </c>
      <c r="G30" s="126">
        <v>100</v>
      </c>
      <c r="I30" s="125">
        <v>10</v>
      </c>
      <c r="J30" s="124">
        <v>2018</v>
      </c>
      <c r="L30" s="191"/>
      <c r="M30" s="185"/>
      <c r="N30" s="127"/>
      <c r="O30" s="186"/>
      <c r="P30" s="179"/>
      <c r="Q30" s="178"/>
      <c r="R30" s="118" t="s">
        <v>3892</v>
      </c>
      <c r="S30" s="184" t="s">
        <v>3891</v>
      </c>
    </row>
    <row r="31" spans="1:19" x14ac:dyDescent="0.25">
      <c r="A31" s="199" t="s">
        <v>3890</v>
      </c>
      <c r="B31" s="125" t="s">
        <v>3889</v>
      </c>
      <c r="C31" s="125">
        <v>2016</v>
      </c>
      <c r="D31" s="127">
        <v>28000</v>
      </c>
      <c r="E31" s="126">
        <v>0.25</v>
      </c>
      <c r="F31" s="126">
        <v>0.25</v>
      </c>
      <c r="G31" s="126">
        <v>0.25</v>
      </c>
      <c r="H31" s="126">
        <v>0.25</v>
      </c>
      <c r="I31" s="125">
        <v>10</v>
      </c>
      <c r="J31" s="124">
        <v>2026</v>
      </c>
      <c r="L31" s="191"/>
      <c r="M31" s="185"/>
      <c r="N31" s="127"/>
      <c r="O31" s="186">
        <v>45000</v>
      </c>
      <c r="P31" s="179"/>
      <c r="Q31" s="178"/>
      <c r="R31" s="118" t="s">
        <v>3888</v>
      </c>
      <c r="S31" s="184" t="s">
        <v>3887</v>
      </c>
    </row>
    <row r="32" spans="1:19" x14ac:dyDescent="0.25">
      <c r="A32" s="199" t="s">
        <v>3886</v>
      </c>
      <c r="B32" s="125" t="s">
        <v>3885</v>
      </c>
      <c r="C32" s="125">
        <v>2016</v>
      </c>
      <c r="D32" s="127">
        <v>24000</v>
      </c>
      <c r="E32" s="126">
        <v>0.5</v>
      </c>
      <c r="F32" s="126">
        <v>0.1</v>
      </c>
      <c r="G32" s="126">
        <v>0.15</v>
      </c>
      <c r="H32" s="126">
        <v>0.25</v>
      </c>
      <c r="I32" s="125">
        <v>10</v>
      </c>
      <c r="J32" s="124">
        <v>2026</v>
      </c>
      <c r="L32" s="191"/>
      <c r="M32" s="185"/>
      <c r="N32" s="127"/>
      <c r="O32" s="186">
        <v>45000</v>
      </c>
      <c r="P32" s="179"/>
      <c r="Q32" s="178"/>
      <c r="R32" s="118" t="s">
        <v>3884</v>
      </c>
      <c r="S32" s="184" t="s">
        <v>3883</v>
      </c>
    </row>
    <row r="33" spans="1:20" x14ac:dyDescent="0.25">
      <c r="A33" s="198" t="s">
        <v>3882</v>
      </c>
      <c r="B33" s="125" t="s">
        <v>3881</v>
      </c>
      <c r="C33" s="128">
        <v>2016</v>
      </c>
      <c r="D33" s="185">
        <v>65000</v>
      </c>
      <c r="E33" s="123">
        <v>0.25</v>
      </c>
      <c r="F33" s="123">
        <v>0.25</v>
      </c>
      <c r="G33" s="123">
        <v>0.25</v>
      </c>
      <c r="H33" s="123">
        <v>0.25</v>
      </c>
      <c r="I33" s="128">
        <v>30</v>
      </c>
      <c r="J33" s="128">
        <v>2034</v>
      </c>
      <c r="K33" s="189"/>
      <c r="L33" s="179"/>
      <c r="M33" s="185"/>
      <c r="N33" s="185">
        <v>250000</v>
      </c>
      <c r="O33" s="185"/>
      <c r="P33" s="185"/>
      <c r="Q33" s="178"/>
      <c r="R33" s="118" t="s">
        <v>3880</v>
      </c>
      <c r="S33" s="197" t="s">
        <v>3830</v>
      </c>
    </row>
    <row r="34" spans="1:20" x14ac:dyDescent="0.25">
      <c r="A34" s="198" t="s">
        <v>3879</v>
      </c>
      <c r="B34" s="125" t="s">
        <v>3878</v>
      </c>
      <c r="C34" s="128">
        <v>2008</v>
      </c>
      <c r="D34" s="185"/>
      <c r="E34" s="123"/>
      <c r="F34" s="123"/>
      <c r="G34" s="123"/>
      <c r="H34" s="123"/>
      <c r="I34" s="128"/>
      <c r="J34" s="128"/>
      <c r="K34" s="189"/>
      <c r="L34" s="179"/>
      <c r="M34" s="185"/>
      <c r="N34" s="185"/>
      <c r="O34" s="185"/>
      <c r="P34" s="185"/>
      <c r="Q34" s="178"/>
      <c r="R34" s="118" t="s">
        <v>3877</v>
      </c>
      <c r="S34" s="197" t="s">
        <v>3876</v>
      </c>
    </row>
    <row r="35" spans="1:20" x14ac:dyDescent="0.25">
      <c r="A35" s="196" t="s">
        <v>3875</v>
      </c>
      <c r="B35" s="125" t="s">
        <v>3874</v>
      </c>
      <c r="C35" s="128">
        <v>2017</v>
      </c>
      <c r="D35" s="185">
        <v>60000</v>
      </c>
      <c r="E35" s="123">
        <v>0.25</v>
      </c>
      <c r="F35" s="123">
        <v>0.75</v>
      </c>
      <c r="G35" s="123"/>
      <c r="H35" s="123"/>
      <c r="I35" s="128">
        <v>10</v>
      </c>
      <c r="J35" s="128">
        <v>2027</v>
      </c>
      <c r="K35" s="189"/>
      <c r="L35" s="118"/>
      <c r="Q35" s="195"/>
      <c r="R35" s="118" t="s">
        <v>3873</v>
      </c>
      <c r="S35" s="118" t="s">
        <v>3872</v>
      </c>
    </row>
    <row r="36" spans="1:20" x14ac:dyDescent="0.25">
      <c r="A36" s="194" t="s">
        <v>3871</v>
      </c>
      <c r="B36" s="125" t="s">
        <v>3870</v>
      </c>
      <c r="C36" s="125">
        <v>2018</v>
      </c>
      <c r="D36" s="127">
        <v>32000</v>
      </c>
      <c r="E36" s="126">
        <v>0.5</v>
      </c>
      <c r="F36" s="126">
        <v>0.5</v>
      </c>
      <c r="I36" s="125">
        <v>10</v>
      </c>
      <c r="J36" s="124">
        <v>2028</v>
      </c>
      <c r="L36" s="191"/>
      <c r="M36" s="185"/>
      <c r="N36" s="127"/>
      <c r="O36" s="186"/>
      <c r="P36" s="179"/>
      <c r="Q36" s="178"/>
      <c r="R36" s="118" t="s">
        <v>3869</v>
      </c>
      <c r="S36" s="184" t="s">
        <v>3868</v>
      </c>
      <c r="T36" s="118"/>
    </row>
    <row r="37" spans="1:20" x14ac:dyDescent="0.25">
      <c r="A37" s="194" t="s">
        <v>3867</v>
      </c>
      <c r="B37" s="125" t="s">
        <v>3866</v>
      </c>
      <c r="C37" s="125">
        <v>2018</v>
      </c>
      <c r="D37" s="127">
        <v>28000</v>
      </c>
      <c r="E37" s="126">
        <v>0.5</v>
      </c>
      <c r="F37" s="126">
        <v>0.5</v>
      </c>
      <c r="I37" s="125">
        <v>10</v>
      </c>
      <c r="J37" s="124">
        <v>2028</v>
      </c>
      <c r="L37" s="191"/>
      <c r="M37" s="185"/>
      <c r="N37" s="127"/>
      <c r="O37" s="186"/>
      <c r="P37" s="179"/>
      <c r="Q37" s="178"/>
      <c r="R37" s="118" t="s">
        <v>3865</v>
      </c>
      <c r="S37" s="184"/>
      <c r="T37" s="118"/>
    </row>
    <row r="38" spans="1:20" x14ac:dyDescent="0.25">
      <c r="A38" s="194" t="s">
        <v>3864</v>
      </c>
      <c r="B38" s="125" t="s">
        <v>3863</v>
      </c>
      <c r="C38" s="125">
        <v>2018</v>
      </c>
      <c r="D38" s="127">
        <v>60000</v>
      </c>
      <c r="E38" s="126">
        <v>0.25</v>
      </c>
      <c r="F38" s="126">
        <v>0.75</v>
      </c>
      <c r="I38" s="125">
        <v>10</v>
      </c>
      <c r="J38" s="124">
        <v>2028</v>
      </c>
      <c r="L38" s="191"/>
      <c r="M38" s="185"/>
      <c r="N38" s="127"/>
      <c r="O38" s="186"/>
      <c r="P38" s="179"/>
      <c r="Q38" s="178"/>
      <c r="R38" s="118" t="s">
        <v>3862</v>
      </c>
      <c r="S38" s="184" t="s">
        <v>3861</v>
      </c>
      <c r="T38" s="118"/>
    </row>
    <row r="39" spans="1:20" x14ac:dyDescent="0.25">
      <c r="A39" s="194" t="s">
        <v>3860</v>
      </c>
      <c r="B39" s="125" t="s">
        <v>3859</v>
      </c>
      <c r="C39" s="125">
        <v>2019</v>
      </c>
      <c r="D39" s="127">
        <v>500000</v>
      </c>
      <c r="E39" s="126">
        <v>0.25</v>
      </c>
      <c r="F39" s="126">
        <v>0.25</v>
      </c>
      <c r="G39" s="126">
        <v>0.5</v>
      </c>
      <c r="I39" s="125">
        <v>10</v>
      </c>
      <c r="J39" s="124">
        <v>2029</v>
      </c>
      <c r="L39" s="191"/>
      <c r="M39" s="185"/>
      <c r="N39" s="127"/>
      <c r="O39" s="186"/>
      <c r="P39" s="179"/>
      <c r="Q39" s="178">
        <v>600000</v>
      </c>
      <c r="R39" s="118" t="s">
        <v>3858</v>
      </c>
      <c r="S39" s="184" t="s">
        <v>3857</v>
      </c>
    </row>
    <row r="40" spans="1:20" x14ac:dyDescent="0.25">
      <c r="A40" s="194" t="s">
        <v>3856</v>
      </c>
      <c r="B40" s="125" t="s">
        <v>3855</v>
      </c>
      <c r="C40" s="125">
        <v>2019</v>
      </c>
      <c r="D40" s="127">
        <v>35000</v>
      </c>
      <c r="E40" s="126">
        <v>0.25</v>
      </c>
      <c r="F40" s="126">
        <v>0.25</v>
      </c>
      <c r="G40" s="126">
        <v>0.25</v>
      </c>
      <c r="H40" s="126">
        <v>0.25</v>
      </c>
      <c r="I40" s="125">
        <v>10</v>
      </c>
      <c r="J40" s="124">
        <v>2029</v>
      </c>
      <c r="L40" s="191"/>
      <c r="M40" s="185"/>
      <c r="N40" s="127"/>
      <c r="O40" s="186"/>
      <c r="P40" s="179"/>
      <c r="Q40" s="178"/>
      <c r="R40" s="118" t="s">
        <v>3854</v>
      </c>
      <c r="S40" s="184" t="s">
        <v>3853</v>
      </c>
    </row>
    <row r="41" spans="1:20" x14ac:dyDescent="0.25">
      <c r="A41" s="194" t="s">
        <v>3852</v>
      </c>
      <c r="B41" s="125" t="s">
        <v>3851</v>
      </c>
      <c r="C41" s="125">
        <v>2019</v>
      </c>
      <c r="D41" s="127">
        <v>225000</v>
      </c>
      <c r="G41" s="126">
        <v>0.5</v>
      </c>
      <c r="H41" s="126">
        <v>0.5</v>
      </c>
      <c r="I41" s="125">
        <v>10</v>
      </c>
      <c r="J41" s="124">
        <v>2029</v>
      </c>
      <c r="L41" s="191"/>
      <c r="M41" s="185"/>
      <c r="N41" s="127"/>
      <c r="O41" s="186"/>
      <c r="P41" s="179">
        <v>400000</v>
      </c>
      <c r="Q41" s="178"/>
      <c r="R41" s="118" t="s">
        <v>3850</v>
      </c>
      <c r="S41" s="184" t="s">
        <v>3849</v>
      </c>
    </row>
    <row r="42" spans="1:20" x14ac:dyDescent="0.25">
      <c r="A42" s="129" t="s">
        <v>3848</v>
      </c>
      <c r="B42" s="125" t="s">
        <v>3847</v>
      </c>
      <c r="C42" s="125">
        <v>2007</v>
      </c>
      <c r="L42" s="191"/>
      <c r="M42" s="185"/>
      <c r="N42" s="127"/>
      <c r="O42" s="186"/>
      <c r="P42" s="179"/>
      <c r="Q42" s="178"/>
      <c r="R42" s="118" t="s">
        <v>3846</v>
      </c>
      <c r="S42" s="184" t="s">
        <v>3845</v>
      </c>
    </row>
    <row r="43" spans="1:20" x14ac:dyDescent="0.25">
      <c r="A43" s="118" t="s">
        <v>3844</v>
      </c>
      <c r="B43" s="125" t="s">
        <v>3843</v>
      </c>
      <c r="C43" s="125">
        <v>2011</v>
      </c>
      <c r="D43" s="126"/>
      <c r="I43" s="126"/>
      <c r="J43" s="126"/>
      <c r="K43" s="189"/>
      <c r="L43" s="193"/>
      <c r="M43" s="126"/>
      <c r="N43" s="126"/>
      <c r="O43" s="126"/>
      <c r="P43" s="126"/>
      <c r="Q43" s="189"/>
      <c r="R43" s="118" t="s">
        <v>3842</v>
      </c>
      <c r="S43" s="118" t="s">
        <v>3841</v>
      </c>
    </row>
    <row r="44" spans="1:20" x14ac:dyDescent="0.25">
      <c r="A44" s="129" t="s">
        <v>3838</v>
      </c>
      <c r="B44" s="125" t="s">
        <v>3840</v>
      </c>
      <c r="C44" s="125">
        <v>2020</v>
      </c>
      <c r="D44" s="127">
        <v>37000</v>
      </c>
      <c r="E44" s="126">
        <v>0.25</v>
      </c>
      <c r="F44" s="126">
        <v>0.25</v>
      </c>
      <c r="G44" s="126">
        <v>0.25</v>
      </c>
      <c r="H44" s="126">
        <v>0.25</v>
      </c>
      <c r="L44" s="191"/>
      <c r="M44" s="185"/>
      <c r="N44" s="127"/>
      <c r="O44" s="186"/>
      <c r="P44" s="179"/>
      <c r="Q44" s="178"/>
      <c r="R44" s="118" t="s">
        <v>3596</v>
      </c>
      <c r="S44" s="184" t="s">
        <v>3839</v>
      </c>
    </row>
    <row r="45" spans="1:20" x14ac:dyDescent="0.25">
      <c r="A45" s="118" t="s">
        <v>3838</v>
      </c>
      <c r="B45" s="125" t="s">
        <v>3837</v>
      </c>
      <c r="C45" s="125">
        <v>2020</v>
      </c>
      <c r="D45" s="127">
        <v>37000</v>
      </c>
      <c r="E45" s="126">
        <v>0.25</v>
      </c>
      <c r="F45" s="126">
        <v>0.25</v>
      </c>
      <c r="G45" s="126">
        <v>0.25</v>
      </c>
      <c r="H45" s="126">
        <v>0.25</v>
      </c>
      <c r="L45" s="191"/>
      <c r="M45" s="185"/>
      <c r="N45" s="127"/>
      <c r="O45" s="186"/>
      <c r="P45" s="179"/>
      <c r="Q45" s="178"/>
      <c r="R45" s="118" t="s">
        <v>3596</v>
      </c>
      <c r="S45" s="184" t="s">
        <v>3836</v>
      </c>
    </row>
    <row r="46" spans="1:20" x14ac:dyDescent="0.25">
      <c r="A46" s="118" t="s">
        <v>3835</v>
      </c>
      <c r="B46" s="125" t="s">
        <v>3834</v>
      </c>
      <c r="C46" s="125">
        <v>2020</v>
      </c>
      <c r="D46" s="127">
        <v>96000</v>
      </c>
      <c r="E46" s="126">
        <v>0.25</v>
      </c>
      <c r="F46" s="126">
        <v>0.25</v>
      </c>
      <c r="G46" s="126">
        <v>0.25</v>
      </c>
      <c r="H46" s="126">
        <v>0.25</v>
      </c>
      <c r="L46" s="191"/>
      <c r="M46" s="185"/>
      <c r="N46" s="127"/>
      <c r="O46" s="186"/>
      <c r="P46" s="179"/>
      <c r="Q46" s="178"/>
      <c r="R46" s="118" t="s">
        <v>3596</v>
      </c>
      <c r="S46" s="184" t="s">
        <v>3830</v>
      </c>
    </row>
    <row r="47" spans="1:20" x14ac:dyDescent="0.25">
      <c r="A47" s="118" t="s">
        <v>3833</v>
      </c>
      <c r="B47" s="125" t="s">
        <v>3832</v>
      </c>
      <c r="C47" s="125">
        <v>2020</v>
      </c>
      <c r="D47" s="127">
        <v>180000</v>
      </c>
      <c r="E47" s="126">
        <v>0.25</v>
      </c>
      <c r="F47" s="126">
        <v>0.25</v>
      </c>
      <c r="G47" s="126">
        <v>0.25</v>
      </c>
      <c r="H47" s="126">
        <v>0.25</v>
      </c>
      <c r="L47" s="191"/>
      <c r="M47" s="185"/>
      <c r="N47" s="127"/>
      <c r="O47" s="186"/>
      <c r="P47" s="179"/>
      <c r="Q47" s="178"/>
      <c r="R47" s="118" t="s">
        <v>3831</v>
      </c>
      <c r="S47" s="184" t="s">
        <v>3830</v>
      </c>
    </row>
    <row r="48" spans="1:20" x14ac:dyDescent="0.25">
      <c r="A48" s="129" t="s">
        <v>3829</v>
      </c>
      <c r="B48" s="128" t="s">
        <v>3828</v>
      </c>
      <c r="C48" s="125">
        <v>2021</v>
      </c>
      <c r="D48" s="127">
        <v>35000</v>
      </c>
      <c r="J48" s="124">
        <v>2031</v>
      </c>
      <c r="R48" s="123" t="s">
        <v>3827</v>
      </c>
      <c r="S48" s="123" t="s">
        <v>3826</v>
      </c>
    </row>
    <row r="49" spans="1:19" x14ac:dyDescent="0.25">
      <c r="A49" s="129" t="s">
        <v>3825</v>
      </c>
      <c r="B49" s="128" t="s">
        <v>3824</v>
      </c>
      <c r="C49" s="125">
        <v>2021</v>
      </c>
      <c r="D49" s="127">
        <v>35000</v>
      </c>
      <c r="E49" s="126">
        <v>0.25</v>
      </c>
      <c r="F49" s="126">
        <v>0.25</v>
      </c>
      <c r="G49" s="126">
        <v>0.25</v>
      </c>
      <c r="H49" s="126">
        <v>0.25</v>
      </c>
      <c r="J49" s="124">
        <v>2031</v>
      </c>
      <c r="R49" s="123" t="s">
        <v>3820</v>
      </c>
      <c r="S49" s="123" t="s">
        <v>3823</v>
      </c>
    </row>
    <row r="50" spans="1:19" x14ac:dyDescent="0.25">
      <c r="A50" s="129" t="s">
        <v>3822</v>
      </c>
      <c r="B50" s="128" t="s">
        <v>3821</v>
      </c>
      <c r="C50" s="125">
        <v>2021</v>
      </c>
      <c r="D50" s="127">
        <v>90000</v>
      </c>
      <c r="E50" s="126">
        <v>0.25</v>
      </c>
      <c r="F50" s="126">
        <v>0.25</v>
      </c>
      <c r="G50" s="126">
        <v>0.25</v>
      </c>
      <c r="H50" s="126">
        <v>0.25</v>
      </c>
      <c r="J50" s="124">
        <v>2027</v>
      </c>
      <c r="R50" s="123" t="s">
        <v>3820</v>
      </c>
      <c r="S50" s="123" t="s">
        <v>3819</v>
      </c>
    </row>
    <row r="51" spans="1:19" x14ac:dyDescent="0.25">
      <c r="A51" s="129" t="s">
        <v>3818</v>
      </c>
      <c r="B51" s="128" t="s">
        <v>3817</v>
      </c>
      <c r="C51" s="125">
        <v>2021</v>
      </c>
      <c r="D51" s="127">
        <v>45000</v>
      </c>
      <c r="E51" s="126">
        <v>0.25</v>
      </c>
      <c r="F51" s="126">
        <v>0.25</v>
      </c>
      <c r="G51" s="126">
        <v>0.25</v>
      </c>
      <c r="H51" s="126">
        <v>0.25</v>
      </c>
      <c r="J51" s="124">
        <v>2031</v>
      </c>
      <c r="R51" s="123" t="s">
        <v>3816</v>
      </c>
      <c r="S51" s="123" t="s">
        <v>3815</v>
      </c>
    </row>
    <row r="52" spans="1:19" ht="15.75" x14ac:dyDescent="0.25">
      <c r="A52" s="192" t="s">
        <v>3814</v>
      </c>
      <c r="B52" s="125"/>
      <c r="L52" s="191"/>
      <c r="M52" s="185"/>
      <c r="N52" s="127"/>
      <c r="O52" s="186"/>
      <c r="P52" s="179"/>
      <c r="Q52" s="178"/>
      <c r="R52" s="118"/>
      <c r="S52" s="184"/>
    </row>
    <row r="53" spans="1:19" ht="23.25" customHeight="1" x14ac:dyDescent="0.25">
      <c r="A53" s="118" t="s">
        <v>3813</v>
      </c>
      <c r="B53" s="125" t="s">
        <v>3812</v>
      </c>
      <c r="C53" s="125">
        <v>2003</v>
      </c>
      <c r="E53" s="177">
        <v>0.25</v>
      </c>
      <c r="F53" s="177"/>
      <c r="G53" s="177">
        <v>0.5</v>
      </c>
      <c r="H53" s="177">
        <v>0.25</v>
      </c>
      <c r="I53" s="125">
        <v>20</v>
      </c>
      <c r="J53" s="124">
        <v>2025</v>
      </c>
      <c r="L53" s="191"/>
      <c r="M53" s="185"/>
      <c r="N53" s="127">
        <v>60000</v>
      </c>
      <c r="O53" s="186"/>
      <c r="P53" s="179"/>
      <c r="Q53" s="178"/>
      <c r="R53" s="118" t="s">
        <v>3596</v>
      </c>
      <c r="S53" s="184" t="s">
        <v>3811</v>
      </c>
    </row>
    <row r="54" spans="1:19" x14ac:dyDescent="0.25">
      <c r="A54" s="118" t="s">
        <v>3810</v>
      </c>
      <c r="B54" s="125" t="s">
        <v>3809</v>
      </c>
      <c r="C54" s="125">
        <v>2009</v>
      </c>
      <c r="E54" s="177">
        <v>0.5</v>
      </c>
      <c r="F54" s="177">
        <v>0.1</v>
      </c>
      <c r="G54" s="177">
        <v>0.2</v>
      </c>
      <c r="H54" s="177">
        <v>0.2</v>
      </c>
      <c r="I54" s="125">
        <v>20</v>
      </c>
      <c r="J54" s="124">
        <v>2026</v>
      </c>
      <c r="L54" s="180"/>
      <c r="M54" s="185"/>
      <c r="N54" s="127"/>
      <c r="O54" s="186">
        <v>40000</v>
      </c>
      <c r="P54" s="179"/>
      <c r="Q54" s="178"/>
      <c r="R54" s="118" t="s">
        <v>3808</v>
      </c>
      <c r="S54" s="184" t="s">
        <v>3807</v>
      </c>
    </row>
    <row r="55" spans="1:19" x14ac:dyDescent="0.25">
      <c r="A55" s="118" t="s">
        <v>3806</v>
      </c>
      <c r="B55" s="126" t="s">
        <v>3805</v>
      </c>
      <c r="C55" s="190">
        <v>1993</v>
      </c>
      <c r="I55" s="126"/>
      <c r="J55" s="118"/>
      <c r="K55" s="189"/>
      <c r="L55" s="180"/>
      <c r="M55" s="185"/>
      <c r="N55" s="127"/>
      <c r="O55" s="186"/>
      <c r="P55" s="179"/>
      <c r="Q55" s="185"/>
      <c r="R55" s="118" t="s">
        <v>3804</v>
      </c>
      <c r="S55" s="118" t="s">
        <v>3803</v>
      </c>
    </row>
    <row r="56" spans="1:19" x14ac:dyDescent="0.25">
      <c r="A56" s="118" t="s">
        <v>3802</v>
      </c>
      <c r="B56" s="125" t="s">
        <v>3801</v>
      </c>
      <c r="C56" s="125">
        <v>1995</v>
      </c>
      <c r="E56" s="177"/>
      <c r="F56" s="177">
        <v>100</v>
      </c>
      <c r="G56" s="177"/>
      <c r="H56" s="177"/>
      <c r="I56" s="125">
        <v>25</v>
      </c>
      <c r="J56" s="124">
        <v>2023</v>
      </c>
      <c r="L56" s="180"/>
      <c r="M56" s="185"/>
      <c r="N56" s="127"/>
      <c r="O56" s="186"/>
      <c r="P56" s="179"/>
      <c r="Q56" s="178"/>
      <c r="R56" s="118" t="s">
        <v>3596</v>
      </c>
      <c r="S56" s="184" t="s">
        <v>3659</v>
      </c>
    </row>
    <row r="57" spans="1:19" x14ac:dyDescent="0.25">
      <c r="A57" s="118" t="s">
        <v>3800</v>
      </c>
      <c r="B57" s="125"/>
      <c r="E57" s="177"/>
      <c r="F57" s="177"/>
      <c r="G57" s="177"/>
      <c r="H57" s="177"/>
      <c r="K57" s="188"/>
      <c r="L57" s="180"/>
      <c r="M57" s="185"/>
      <c r="N57" s="127"/>
      <c r="O57" s="186"/>
      <c r="P57" s="179"/>
      <c r="Q57" s="178"/>
      <c r="R57" s="118"/>
      <c r="S57" s="184"/>
    </row>
    <row r="58" spans="1:19" x14ac:dyDescent="0.25">
      <c r="A58" s="129" t="s">
        <v>3799</v>
      </c>
      <c r="B58" s="125" t="s">
        <v>3798</v>
      </c>
      <c r="C58" s="125">
        <v>2006</v>
      </c>
      <c r="E58" s="177">
        <v>0.5</v>
      </c>
      <c r="F58" s="177">
        <v>0.1</v>
      </c>
      <c r="G58" s="177">
        <v>0.2</v>
      </c>
      <c r="H58" s="177">
        <v>0.2</v>
      </c>
      <c r="I58" s="125">
        <v>20</v>
      </c>
      <c r="J58" s="124">
        <v>2022</v>
      </c>
      <c r="K58" s="188"/>
      <c r="L58" s="180"/>
      <c r="M58" s="185"/>
      <c r="N58" s="127"/>
      <c r="O58" s="186"/>
      <c r="P58" s="179"/>
      <c r="Q58" s="178"/>
      <c r="R58" s="118" t="s">
        <v>3797</v>
      </c>
      <c r="S58" s="184" t="s">
        <v>3796</v>
      </c>
    </row>
    <row r="59" spans="1:19" x14ac:dyDescent="0.25">
      <c r="A59" s="118" t="s">
        <v>3795</v>
      </c>
      <c r="B59" s="125" t="s">
        <v>3794</v>
      </c>
      <c r="C59" s="125" t="s">
        <v>3793</v>
      </c>
      <c r="E59" s="177"/>
      <c r="F59" s="177"/>
      <c r="G59" s="177"/>
      <c r="H59" s="177">
        <v>100</v>
      </c>
      <c r="I59" s="125">
        <v>30</v>
      </c>
      <c r="J59" s="124">
        <v>1995</v>
      </c>
      <c r="K59" s="188"/>
      <c r="L59" s="180"/>
      <c r="M59" s="185">
        <v>100000</v>
      </c>
      <c r="N59" s="127"/>
      <c r="O59" s="186"/>
      <c r="P59" s="179"/>
      <c r="Q59" s="178"/>
      <c r="R59" s="118" t="s">
        <v>3792</v>
      </c>
      <c r="S59" s="184" t="s">
        <v>3791</v>
      </c>
    </row>
    <row r="60" spans="1:19" x14ac:dyDescent="0.25">
      <c r="A60" s="118" t="s">
        <v>3790</v>
      </c>
      <c r="B60" s="125" t="s">
        <v>3789</v>
      </c>
      <c r="C60" s="125">
        <v>2011</v>
      </c>
      <c r="E60" s="177"/>
      <c r="F60" s="177"/>
      <c r="G60" s="177"/>
      <c r="H60" s="177">
        <v>100</v>
      </c>
      <c r="I60" s="125">
        <v>10</v>
      </c>
      <c r="J60" s="124">
        <v>2021</v>
      </c>
      <c r="L60" s="180"/>
      <c r="M60" s="185"/>
      <c r="N60" s="127"/>
      <c r="O60" s="186"/>
      <c r="P60" s="179"/>
      <c r="Q60" s="178"/>
      <c r="R60" s="118" t="s">
        <v>3631</v>
      </c>
      <c r="S60" s="184" t="s">
        <v>3788</v>
      </c>
    </row>
    <row r="61" spans="1:19" x14ac:dyDescent="0.25">
      <c r="A61" s="118" t="s">
        <v>3787</v>
      </c>
      <c r="B61" s="125" t="s">
        <v>3786</v>
      </c>
      <c r="C61" s="125" t="s">
        <v>3753</v>
      </c>
      <c r="E61" s="177"/>
      <c r="F61" s="177"/>
      <c r="G61" s="177"/>
      <c r="H61" s="177">
        <v>100</v>
      </c>
      <c r="L61" s="180"/>
      <c r="M61" s="185"/>
      <c r="N61" s="127"/>
      <c r="O61" s="186"/>
      <c r="P61" s="179"/>
      <c r="Q61" s="178"/>
      <c r="R61" s="118" t="s">
        <v>3785</v>
      </c>
      <c r="S61" s="184" t="s">
        <v>3634</v>
      </c>
    </row>
    <row r="62" spans="1:19" x14ac:dyDescent="0.25">
      <c r="A62" s="118" t="s">
        <v>3784</v>
      </c>
      <c r="B62" s="125" t="s">
        <v>3783</v>
      </c>
      <c r="C62" s="125" t="s">
        <v>3782</v>
      </c>
      <c r="E62" s="177"/>
      <c r="F62" s="177"/>
      <c r="G62" s="177"/>
      <c r="H62" s="177"/>
      <c r="L62" s="180"/>
      <c r="M62" s="185"/>
      <c r="N62" s="127"/>
      <c r="O62" s="186"/>
      <c r="P62" s="179"/>
      <c r="Q62" s="178"/>
      <c r="R62" s="118" t="s">
        <v>3781</v>
      </c>
      <c r="S62" s="184" t="s">
        <v>3734</v>
      </c>
    </row>
    <row r="63" spans="1:19" x14ac:dyDescent="0.25">
      <c r="A63" s="118" t="s">
        <v>3780</v>
      </c>
      <c r="B63" s="125" t="s">
        <v>3779</v>
      </c>
      <c r="C63" s="125">
        <v>1997</v>
      </c>
      <c r="E63" s="177">
        <v>0.5</v>
      </c>
      <c r="F63" s="177">
        <v>0.5</v>
      </c>
      <c r="G63" s="177"/>
      <c r="H63" s="177"/>
      <c r="I63" s="125">
        <v>20</v>
      </c>
      <c r="J63" s="124">
        <v>2017</v>
      </c>
      <c r="K63" s="188"/>
      <c r="L63" s="180"/>
      <c r="M63" s="185"/>
      <c r="N63" s="127"/>
      <c r="O63" s="186"/>
      <c r="P63" s="179"/>
      <c r="Q63" s="178"/>
      <c r="R63" s="118" t="s">
        <v>3778</v>
      </c>
      <c r="S63" s="184" t="s">
        <v>3777</v>
      </c>
    </row>
    <row r="64" spans="1:19" x14ac:dyDescent="0.25">
      <c r="A64" s="118" t="s">
        <v>3776</v>
      </c>
      <c r="B64" s="125" t="s">
        <v>3775</v>
      </c>
      <c r="C64" s="125">
        <v>2009</v>
      </c>
      <c r="D64" s="127">
        <v>13749.46</v>
      </c>
      <c r="E64" s="177">
        <v>0.25</v>
      </c>
      <c r="F64" s="177">
        <v>0.25</v>
      </c>
      <c r="G64" s="177">
        <v>0.25</v>
      </c>
      <c r="H64" s="177">
        <v>0.25</v>
      </c>
      <c r="I64" s="125">
        <v>20</v>
      </c>
      <c r="J64" s="124">
        <v>2020</v>
      </c>
      <c r="L64" s="181">
        <v>50000</v>
      </c>
      <c r="M64" s="185"/>
      <c r="N64" s="127"/>
      <c r="O64" s="186"/>
      <c r="P64" s="179"/>
      <c r="Q64" s="178"/>
      <c r="R64" s="118" t="s">
        <v>3774</v>
      </c>
      <c r="S64" s="184" t="s">
        <v>3773</v>
      </c>
    </row>
    <row r="65" spans="1:19" x14ac:dyDescent="0.25">
      <c r="A65" s="118" t="s">
        <v>3772</v>
      </c>
      <c r="B65" s="125" t="s">
        <v>3771</v>
      </c>
      <c r="C65" s="125" t="s">
        <v>3753</v>
      </c>
      <c r="E65" s="177"/>
      <c r="F65" s="177"/>
      <c r="G65" s="177"/>
      <c r="H65" s="177">
        <v>100</v>
      </c>
      <c r="L65" s="180"/>
      <c r="M65" s="185">
        <v>30000</v>
      </c>
      <c r="N65" s="127"/>
      <c r="O65" s="186"/>
      <c r="P65" s="179"/>
      <c r="Q65" s="178"/>
      <c r="R65" s="118" t="s">
        <v>3631</v>
      </c>
      <c r="S65" s="184" t="s">
        <v>3770</v>
      </c>
    </row>
    <row r="66" spans="1:19" x14ac:dyDescent="0.25">
      <c r="A66" s="118" t="s">
        <v>3769</v>
      </c>
      <c r="B66" s="125" t="s">
        <v>3768</v>
      </c>
      <c r="C66" s="125">
        <v>1998</v>
      </c>
      <c r="E66" s="177"/>
      <c r="F66" s="177"/>
      <c r="G66" s="177">
        <v>0.5</v>
      </c>
      <c r="H66" s="177">
        <v>0.5</v>
      </c>
      <c r="I66" s="125">
        <v>30</v>
      </c>
      <c r="J66" s="124">
        <v>2018</v>
      </c>
      <c r="L66" s="180"/>
      <c r="M66" s="185"/>
      <c r="N66" s="127"/>
      <c r="O66" s="186"/>
      <c r="P66" s="179"/>
      <c r="Q66" s="178"/>
      <c r="R66" s="118" t="s">
        <v>3767</v>
      </c>
      <c r="S66" s="184" t="s">
        <v>3766</v>
      </c>
    </row>
    <row r="67" spans="1:19" x14ac:dyDescent="0.25">
      <c r="A67" s="118" t="s">
        <v>3765</v>
      </c>
      <c r="B67" s="125" t="s">
        <v>3764</v>
      </c>
      <c r="C67" s="125">
        <v>2008</v>
      </c>
      <c r="E67" s="177"/>
      <c r="F67" s="177"/>
      <c r="G67" s="177">
        <v>0.5</v>
      </c>
      <c r="H67" s="177">
        <v>0.5</v>
      </c>
      <c r="I67" s="125">
        <v>20</v>
      </c>
      <c r="J67" s="124">
        <v>2021</v>
      </c>
      <c r="L67" s="180"/>
      <c r="M67" s="185"/>
      <c r="N67" s="127"/>
      <c r="O67" s="186"/>
      <c r="P67" s="179"/>
      <c r="Q67" s="178"/>
      <c r="R67" s="118" t="s">
        <v>3761</v>
      </c>
      <c r="S67" s="184" t="s">
        <v>3760</v>
      </c>
    </row>
    <row r="68" spans="1:19" x14ac:dyDescent="0.25">
      <c r="A68" s="118" t="s">
        <v>3763</v>
      </c>
      <c r="B68" s="125" t="s">
        <v>3762</v>
      </c>
      <c r="C68" s="125">
        <v>2012</v>
      </c>
      <c r="E68" s="177"/>
      <c r="F68" s="177"/>
      <c r="G68" s="177">
        <v>0.5</v>
      </c>
      <c r="H68" s="177">
        <v>0.5</v>
      </c>
      <c r="I68" s="125">
        <v>7</v>
      </c>
      <c r="J68" s="124">
        <v>2019</v>
      </c>
      <c r="L68" s="180"/>
      <c r="M68" s="185"/>
      <c r="N68" s="127"/>
      <c r="O68" s="186"/>
      <c r="P68" s="179"/>
      <c r="Q68" s="178"/>
      <c r="R68" s="118" t="s">
        <v>3761</v>
      </c>
      <c r="S68" s="184" t="s">
        <v>3760</v>
      </c>
    </row>
    <row r="69" spans="1:19" x14ac:dyDescent="0.25">
      <c r="A69" s="118" t="s">
        <v>3759</v>
      </c>
      <c r="B69" s="125" t="s">
        <v>3758</v>
      </c>
      <c r="C69" s="125" t="s">
        <v>3753</v>
      </c>
      <c r="E69" s="177"/>
      <c r="F69" s="177"/>
      <c r="G69" s="177"/>
      <c r="H69" s="177"/>
      <c r="L69" s="180"/>
      <c r="M69" s="185"/>
      <c r="N69" s="127"/>
      <c r="O69" s="186"/>
      <c r="P69" s="179"/>
      <c r="Q69" s="178"/>
      <c r="R69" s="118" t="s">
        <v>3757</v>
      </c>
      <c r="S69" s="184" t="s">
        <v>3756</v>
      </c>
    </row>
    <row r="70" spans="1:19" x14ac:dyDescent="0.25">
      <c r="A70" s="118" t="s">
        <v>3755</v>
      </c>
      <c r="B70" s="125" t="s">
        <v>3754</v>
      </c>
      <c r="C70" s="125" t="s">
        <v>3753</v>
      </c>
      <c r="E70" s="177">
        <v>0.25</v>
      </c>
      <c r="F70" s="177"/>
      <c r="G70" s="177">
        <v>0.5</v>
      </c>
      <c r="H70" s="177">
        <v>0.5</v>
      </c>
      <c r="I70" s="125">
        <v>30</v>
      </c>
      <c r="J70" s="124">
        <v>2012</v>
      </c>
      <c r="K70" s="188"/>
      <c r="L70" s="180"/>
      <c r="M70" s="185"/>
      <c r="N70" s="127"/>
      <c r="O70" s="186"/>
      <c r="P70" s="179"/>
      <c r="Q70" s="178"/>
      <c r="R70" s="118" t="s">
        <v>3752</v>
      </c>
      <c r="S70" s="184" t="s">
        <v>3751</v>
      </c>
    </row>
    <row r="71" spans="1:19" x14ac:dyDescent="0.25">
      <c r="A71" s="118" t="s">
        <v>3750</v>
      </c>
      <c r="B71" s="125" t="s">
        <v>3749</v>
      </c>
      <c r="C71" s="125">
        <v>1998</v>
      </c>
      <c r="E71" s="177">
        <v>0.5</v>
      </c>
      <c r="F71" s="177">
        <v>0.15</v>
      </c>
      <c r="G71" s="177">
        <v>0.1</v>
      </c>
      <c r="H71" s="177">
        <v>0.25</v>
      </c>
      <c r="I71" s="125">
        <v>20</v>
      </c>
      <c r="J71" s="124">
        <v>2018</v>
      </c>
      <c r="L71" s="180"/>
      <c r="M71" s="185">
        <v>100000</v>
      </c>
      <c r="N71" s="127"/>
      <c r="O71" s="186"/>
      <c r="P71" s="179"/>
      <c r="Q71" s="178"/>
      <c r="R71" s="118" t="s">
        <v>3596</v>
      </c>
      <c r="S71" s="184" t="s">
        <v>3748</v>
      </c>
    </row>
    <row r="72" spans="1:19" x14ac:dyDescent="0.25">
      <c r="A72" s="129" t="s">
        <v>3747</v>
      </c>
      <c r="B72" s="125" t="s">
        <v>3746</v>
      </c>
      <c r="C72" s="125">
        <v>2002</v>
      </c>
      <c r="E72" s="177"/>
      <c r="F72" s="177"/>
      <c r="G72" s="177"/>
      <c r="H72" s="177">
        <v>0.5</v>
      </c>
      <c r="I72" s="125">
        <v>20</v>
      </c>
      <c r="J72" s="124">
        <v>2022</v>
      </c>
      <c r="L72" s="180"/>
      <c r="M72" s="185"/>
      <c r="N72" s="127"/>
      <c r="O72" s="186"/>
      <c r="P72" s="179"/>
      <c r="Q72" s="178"/>
      <c r="R72" s="118" t="s">
        <v>3745</v>
      </c>
      <c r="S72" s="184" t="s">
        <v>3744</v>
      </c>
    </row>
    <row r="73" spans="1:19" x14ac:dyDescent="0.25">
      <c r="A73" s="118" t="s">
        <v>3743</v>
      </c>
      <c r="B73" s="125" t="s">
        <v>3742</v>
      </c>
      <c r="C73" s="125">
        <v>2003</v>
      </c>
      <c r="D73" s="127">
        <v>16000</v>
      </c>
      <c r="E73" s="177"/>
      <c r="F73" s="177"/>
      <c r="G73" s="177"/>
      <c r="H73" s="177"/>
      <c r="I73" s="125">
        <v>20</v>
      </c>
      <c r="J73" s="124">
        <v>2023</v>
      </c>
      <c r="L73" s="180"/>
      <c r="M73" s="185"/>
      <c r="N73" s="127">
        <v>30000</v>
      </c>
      <c r="O73" s="186"/>
      <c r="P73" s="179"/>
      <c r="Q73" s="178"/>
      <c r="R73" s="118" t="s">
        <v>3731</v>
      </c>
      <c r="S73" s="184" t="s">
        <v>3726</v>
      </c>
    </row>
    <row r="74" spans="1:19" x14ac:dyDescent="0.25">
      <c r="A74" s="118" t="s">
        <v>3741</v>
      </c>
      <c r="B74" s="125" t="s">
        <v>3740</v>
      </c>
      <c r="C74" s="125">
        <v>1998</v>
      </c>
      <c r="D74" s="127">
        <v>6000</v>
      </c>
      <c r="E74" s="177"/>
      <c r="F74" s="177"/>
      <c r="G74" s="177"/>
      <c r="H74" s="177"/>
      <c r="I74" s="125">
        <v>20</v>
      </c>
      <c r="J74" s="124">
        <v>2015</v>
      </c>
      <c r="K74" s="188"/>
      <c r="L74" s="180"/>
      <c r="M74" s="185"/>
      <c r="N74" s="127"/>
      <c r="O74" s="186"/>
      <c r="P74" s="179"/>
      <c r="Q74" s="178"/>
      <c r="R74" s="118" t="s">
        <v>3739</v>
      </c>
      <c r="S74" s="184" t="s">
        <v>3738</v>
      </c>
    </row>
    <row r="75" spans="1:19" x14ac:dyDescent="0.25">
      <c r="A75" s="129" t="s">
        <v>3737</v>
      </c>
      <c r="B75" s="125" t="s">
        <v>3736</v>
      </c>
      <c r="C75" s="125">
        <v>1995</v>
      </c>
      <c r="D75" s="127">
        <v>12000</v>
      </c>
      <c r="E75" s="177"/>
      <c r="F75" s="177"/>
      <c r="G75" s="177"/>
      <c r="H75" s="177"/>
      <c r="I75" s="125">
        <v>30</v>
      </c>
      <c r="J75" s="124">
        <v>2025</v>
      </c>
      <c r="L75" s="180"/>
      <c r="M75" s="185"/>
      <c r="N75" s="127">
        <v>20000</v>
      </c>
      <c r="O75" s="186"/>
      <c r="P75" s="179"/>
      <c r="Q75" s="178"/>
      <c r="R75" s="118" t="s">
        <v>3735</v>
      </c>
      <c r="S75" s="184" t="s">
        <v>3734</v>
      </c>
    </row>
    <row r="76" spans="1:19" x14ac:dyDescent="0.25">
      <c r="A76" s="118" t="s">
        <v>3733</v>
      </c>
      <c r="B76" s="126" t="s">
        <v>3732</v>
      </c>
      <c r="C76" s="125">
        <v>2013</v>
      </c>
      <c r="I76" s="126"/>
      <c r="J76" s="124">
        <v>2030</v>
      </c>
      <c r="L76" s="180"/>
      <c r="M76" s="185"/>
      <c r="N76" s="127"/>
      <c r="O76" s="186">
        <v>30000</v>
      </c>
      <c r="P76" s="179"/>
      <c r="Q76" s="187"/>
      <c r="R76" s="118" t="s">
        <v>3731</v>
      </c>
      <c r="S76" s="118" t="s">
        <v>3730</v>
      </c>
    </row>
    <row r="77" spans="1:19" x14ac:dyDescent="0.25">
      <c r="A77" s="118" t="s">
        <v>3729</v>
      </c>
      <c r="B77" s="125" t="s">
        <v>3728</v>
      </c>
      <c r="C77" s="125">
        <v>1998</v>
      </c>
      <c r="E77" s="177"/>
      <c r="F77" s="177"/>
      <c r="G77" s="177"/>
      <c r="H77" s="177"/>
      <c r="L77" s="180"/>
      <c r="M77" s="185"/>
      <c r="N77" s="127"/>
      <c r="O77" s="186"/>
      <c r="P77" s="179"/>
      <c r="Q77" s="178"/>
      <c r="R77" s="118" t="s">
        <v>3727</v>
      </c>
      <c r="S77" s="184" t="s">
        <v>3726</v>
      </c>
    </row>
    <row r="78" spans="1:19" x14ac:dyDescent="0.25">
      <c r="A78" s="118" t="s">
        <v>3725</v>
      </c>
      <c r="B78" s="125" t="s">
        <v>3724</v>
      </c>
      <c r="C78" s="125">
        <v>1996</v>
      </c>
      <c r="E78" s="177"/>
      <c r="F78" s="177"/>
      <c r="G78" s="177"/>
      <c r="H78" s="177"/>
      <c r="I78" s="125">
        <v>30</v>
      </c>
      <c r="J78" s="124">
        <v>2026</v>
      </c>
      <c r="L78" s="180"/>
      <c r="M78" s="185"/>
      <c r="N78" s="127"/>
      <c r="O78" s="186"/>
      <c r="P78" s="179"/>
      <c r="Q78" s="178"/>
      <c r="R78" s="118" t="s">
        <v>3596</v>
      </c>
      <c r="S78" s="184" t="s">
        <v>3723</v>
      </c>
    </row>
    <row r="79" spans="1:19" x14ac:dyDescent="0.25">
      <c r="A79" s="118" t="s">
        <v>3722</v>
      </c>
      <c r="B79" s="125" t="s">
        <v>3721</v>
      </c>
      <c r="C79" s="125">
        <v>1998</v>
      </c>
      <c r="E79" s="177">
        <v>0.25</v>
      </c>
      <c r="F79" s="177">
        <v>0.25</v>
      </c>
      <c r="G79" s="177">
        <v>0.25</v>
      </c>
      <c r="H79" s="177">
        <v>0.25</v>
      </c>
      <c r="I79" s="125">
        <v>25</v>
      </c>
      <c r="J79" s="124">
        <v>2023</v>
      </c>
      <c r="L79" s="180"/>
      <c r="M79" s="185"/>
      <c r="N79" s="127"/>
      <c r="O79" s="186"/>
      <c r="P79" s="179"/>
      <c r="Q79" s="178"/>
      <c r="R79" s="118" t="s">
        <v>3720</v>
      </c>
      <c r="S79" s="184" t="s">
        <v>3719</v>
      </c>
    </row>
    <row r="80" spans="1:19" x14ac:dyDescent="0.25">
      <c r="A80" s="118" t="s">
        <v>3718</v>
      </c>
      <c r="B80" s="125"/>
      <c r="E80" s="177"/>
      <c r="F80" s="177"/>
      <c r="G80" s="177"/>
      <c r="H80" s="177"/>
      <c r="L80" s="180"/>
      <c r="M80" s="185"/>
      <c r="N80" s="127"/>
      <c r="O80" s="186"/>
      <c r="P80" s="179"/>
      <c r="Q80" s="178"/>
      <c r="R80" s="118"/>
      <c r="S80" s="184"/>
    </row>
    <row r="81" spans="1:19" x14ac:dyDescent="0.25">
      <c r="A81" s="118" t="s">
        <v>3717</v>
      </c>
      <c r="B81" s="125" t="s">
        <v>3716</v>
      </c>
      <c r="C81" s="125">
        <v>1999</v>
      </c>
      <c r="D81" s="127">
        <v>9000</v>
      </c>
      <c r="E81" s="177">
        <v>0.25</v>
      </c>
      <c r="F81" s="177"/>
      <c r="G81" s="177">
        <v>0.25</v>
      </c>
      <c r="H81" s="177">
        <v>0.5</v>
      </c>
      <c r="I81" s="125">
        <v>20</v>
      </c>
      <c r="J81" s="124">
        <v>2019</v>
      </c>
      <c r="K81" s="188"/>
      <c r="L81" s="180"/>
      <c r="M81" s="185"/>
      <c r="N81" s="127"/>
      <c r="O81" s="186"/>
      <c r="P81" s="179"/>
      <c r="Q81" s="178"/>
      <c r="R81" s="118" t="s">
        <v>3715</v>
      </c>
      <c r="S81" s="184" t="s">
        <v>3714</v>
      </c>
    </row>
    <row r="82" spans="1:19" x14ac:dyDescent="0.25">
      <c r="A82" s="118" t="s">
        <v>3713</v>
      </c>
      <c r="B82" s="125" t="s">
        <v>3712</v>
      </c>
      <c r="C82" s="125">
        <v>2000</v>
      </c>
      <c r="E82" s="177"/>
      <c r="F82" s="177"/>
      <c r="G82" s="177"/>
      <c r="H82" s="177"/>
      <c r="I82" s="125">
        <v>10</v>
      </c>
      <c r="J82" s="124">
        <v>2018</v>
      </c>
      <c r="K82" s="188"/>
      <c r="L82" s="180"/>
      <c r="M82" s="185"/>
      <c r="N82" s="127">
        <v>30000</v>
      </c>
      <c r="O82" s="186"/>
      <c r="P82" s="179"/>
      <c r="Q82" s="178"/>
      <c r="R82" s="118" t="s">
        <v>3711</v>
      </c>
      <c r="S82" s="184" t="s">
        <v>3710</v>
      </c>
    </row>
    <row r="83" spans="1:19" x14ac:dyDescent="0.25">
      <c r="A83" s="118" t="s">
        <v>3709</v>
      </c>
      <c r="B83" s="125" t="s">
        <v>3708</v>
      </c>
      <c r="C83" s="125">
        <v>2012</v>
      </c>
      <c r="E83" s="177"/>
      <c r="F83" s="177"/>
      <c r="G83" s="177"/>
      <c r="H83" s="177"/>
      <c r="I83" s="125">
        <v>10</v>
      </c>
      <c r="J83" s="124">
        <v>2009</v>
      </c>
      <c r="K83" s="188"/>
      <c r="L83" s="181">
        <v>10000</v>
      </c>
      <c r="M83" s="185"/>
      <c r="N83" s="127"/>
      <c r="O83" s="186"/>
      <c r="P83" s="179"/>
      <c r="Q83" s="178"/>
      <c r="R83" s="118" t="s">
        <v>3707</v>
      </c>
      <c r="S83" s="184" t="s">
        <v>3706</v>
      </c>
    </row>
    <row r="84" spans="1:19" x14ac:dyDescent="0.25">
      <c r="A84" s="118" t="s">
        <v>3705</v>
      </c>
      <c r="B84" s="125" t="s">
        <v>3704</v>
      </c>
      <c r="C84" s="125">
        <v>2008</v>
      </c>
      <c r="E84" s="177"/>
      <c r="F84" s="177"/>
      <c r="G84" s="177"/>
      <c r="H84" s="177"/>
      <c r="I84" s="125">
        <v>10</v>
      </c>
      <c r="J84" s="124">
        <v>2018</v>
      </c>
      <c r="L84" s="180"/>
      <c r="M84" s="185"/>
      <c r="N84" s="127">
        <v>30000</v>
      </c>
      <c r="O84" s="186"/>
      <c r="P84" s="179"/>
      <c r="Q84" s="178"/>
      <c r="R84" s="118" t="s">
        <v>3703</v>
      </c>
      <c r="S84" s="184" t="s">
        <v>3702</v>
      </c>
    </row>
    <row r="85" spans="1:19" x14ac:dyDescent="0.25">
      <c r="A85" s="118" t="s">
        <v>3701</v>
      </c>
      <c r="B85" s="125" t="s">
        <v>3700</v>
      </c>
      <c r="C85" s="125">
        <v>2008</v>
      </c>
      <c r="E85" s="177"/>
      <c r="F85" s="177"/>
      <c r="G85" s="177"/>
      <c r="H85" s="177"/>
      <c r="J85" s="124">
        <v>2020</v>
      </c>
      <c r="L85" s="180"/>
      <c r="M85" s="185"/>
      <c r="N85" s="127">
        <v>65000</v>
      </c>
      <c r="O85" s="186"/>
      <c r="P85" s="179"/>
      <c r="Q85" s="178"/>
      <c r="R85" s="118" t="s">
        <v>3699</v>
      </c>
      <c r="S85" s="184" t="s">
        <v>3698</v>
      </c>
    </row>
    <row r="86" spans="1:19" x14ac:dyDescent="0.25">
      <c r="A86" s="118" t="s">
        <v>3697</v>
      </c>
      <c r="B86" s="125" t="s">
        <v>3696</v>
      </c>
      <c r="C86" s="125">
        <v>2010</v>
      </c>
      <c r="E86" s="177"/>
      <c r="F86" s="177"/>
      <c r="G86" s="177"/>
      <c r="H86" s="177"/>
      <c r="J86" s="124">
        <v>2023</v>
      </c>
      <c r="L86" s="181">
        <v>30000</v>
      </c>
      <c r="M86" s="185"/>
      <c r="N86" s="127"/>
      <c r="O86" s="186"/>
      <c r="P86" s="179"/>
      <c r="Q86" s="178"/>
      <c r="R86" s="118" t="s">
        <v>3695</v>
      </c>
      <c r="S86" s="184" t="s">
        <v>3624</v>
      </c>
    </row>
    <row r="87" spans="1:19" x14ac:dyDescent="0.25">
      <c r="A87" s="118" t="s">
        <v>3694</v>
      </c>
      <c r="B87" s="125" t="s">
        <v>3693</v>
      </c>
      <c r="C87" s="125">
        <v>2010</v>
      </c>
      <c r="D87" s="127">
        <v>4000</v>
      </c>
      <c r="I87" s="126"/>
      <c r="J87" s="118"/>
      <c r="L87" s="180"/>
      <c r="M87" s="185"/>
      <c r="N87" s="127"/>
      <c r="O87" s="186"/>
      <c r="P87" s="179"/>
      <c r="Q87" s="187"/>
      <c r="R87" s="118" t="s">
        <v>3692</v>
      </c>
      <c r="S87" s="118" t="s">
        <v>3691</v>
      </c>
    </row>
    <row r="88" spans="1:19" x14ac:dyDescent="0.25">
      <c r="A88" s="118" t="s">
        <v>3690</v>
      </c>
      <c r="B88" s="125" t="s">
        <v>3689</v>
      </c>
      <c r="C88" s="125">
        <v>2012</v>
      </c>
      <c r="E88" s="177">
        <v>0.1</v>
      </c>
      <c r="F88" s="177">
        <v>0.05</v>
      </c>
      <c r="G88" s="177">
        <v>0.75</v>
      </c>
      <c r="H88" s="177">
        <v>0.1</v>
      </c>
      <c r="I88" s="125">
        <v>20</v>
      </c>
      <c r="J88" s="124">
        <v>2032</v>
      </c>
      <c r="L88" s="180"/>
      <c r="M88" s="185">
        <v>150000</v>
      </c>
      <c r="N88" s="127"/>
      <c r="O88" s="186"/>
      <c r="P88" s="179"/>
      <c r="Q88" s="178"/>
      <c r="R88" s="118" t="s">
        <v>3688</v>
      </c>
      <c r="S88" s="184" t="s">
        <v>3687</v>
      </c>
    </row>
    <row r="89" spans="1:19" x14ac:dyDescent="0.25">
      <c r="A89" s="118" t="s">
        <v>3686</v>
      </c>
      <c r="B89" s="125" t="s">
        <v>3685</v>
      </c>
      <c r="C89" s="125">
        <v>2005</v>
      </c>
      <c r="E89" s="177"/>
      <c r="F89" s="177">
        <v>100</v>
      </c>
      <c r="G89" s="177"/>
      <c r="H89" s="177"/>
      <c r="J89" s="124">
        <v>2025</v>
      </c>
      <c r="L89" s="180"/>
      <c r="M89" s="185"/>
      <c r="N89" s="127"/>
      <c r="O89" s="186"/>
      <c r="P89" s="179"/>
      <c r="Q89" s="178"/>
      <c r="R89" s="118" t="s">
        <v>3684</v>
      </c>
      <c r="S89" s="184" t="s">
        <v>3659</v>
      </c>
    </row>
    <row r="90" spans="1:19" x14ac:dyDescent="0.25">
      <c r="A90" s="118" t="s">
        <v>3683</v>
      </c>
      <c r="B90" s="125" t="s">
        <v>3682</v>
      </c>
      <c r="C90" s="125">
        <v>2001</v>
      </c>
      <c r="E90" s="177"/>
      <c r="F90" s="177"/>
      <c r="G90" s="177"/>
      <c r="H90" s="177"/>
      <c r="I90" s="125">
        <v>15</v>
      </c>
      <c r="J90" s="124">
        <v>2016</v>
      </c>
      <c r="K90" s="188"/>
      <c r="L90" s="180"/>
      <c r="M90" s="185"/>
      <c r="N90" s="127"/>
      <c r="O90" s="186"/>
      <c r="P90" s="179"/>
      <c r="Q90" s="178"/>
      <c r="R90" s="118" t="s">
        <v>3681</v>
      </c>
      <c r="S90" s="184" t="s">
        <v>3680</v>
      </c>
    </row>
    <row r="91" spans="1:19" x14ac:dyDescent="0.25">
      <c r="A91" s="118" t="s">
        <v>3679</v>
      </c>
      <c r="B91" s="125" t="s">
        <v>3678</v>
      </c>
      <c r="C91" s="125">
        <v>2013</v>
      </c>
      <c r="D91" s="127">
        <v>15000</v>
      </c>
      <c r="E91" s="177">
        <v>0.25</v>
      </c>
      <c r="F91" s="177">
        <v>0.25</v>
      </c>
      <c r="G91" s="177">
        <v>0.25</v>
      </c>
      <c r="H91" s="177"/>
      <c r="J91" s="124">
        <v>2032</v>
      </c>
      <c r="K91" s="188"/>
      <c r="L91" s="180"/>
      <c r="M91" s="185"/>
      <c r="N91" s="127"/>
      <c r="O91" s="186">
        <v>50000</v>
      </c>
      <c r="P91" s="179"/>
      <c r="Q91" s="178"/>
      <c r="R91" s="118" t="s">
        <v>3677</v>
      </c>
      <c r="S91" s="184" t="s">
        <v>3676</v>
      </c>
    </row>
    <row r="92" spans="1:19" x14ac:dyDescent="0.25">
      <c r="A92" s="118" t="s">
        <v>3675</v>
      </c>
      <c r="B92" s="125" t="s">
        <v>3674</v>
      </c>
      <c r="C92" s="125">
        <v>2014</v>
      </c>
      <c r="D92" s="127">
        <v>23000</v>
      </c>
      <c r="I92" s="126"/>
      <c r="J92" s="118"/>
      <c r="L92" s="181">
        <v>25000</v>
      </c>
      <c r="M92" s="185"/>
      <c r="N92" s="127"/>
      <c r="O92" s="186"/>
      <c r="P92" s="179"/>
      <c r="Q92" s="187"/>
      <c r="R92" s="118" t="s">
        <v>3613</v>
      </c>
      <c r="S92" s="118" t="s">
        <v>3673</v>
      </c>
    </row>
    <row r="93" spans="1:19" x14ac:dyDescent="0.25">
      <c r="A93" s="118" t="s">
        <v>3672</v>
      </c>
      <c r="B93" s="125" t="s">
        <v>3671</v>
      </c>
      <c r="C93" s="125">
        <v>2014</v>
      </c>
      <c r="D93" s="127">
        <v>6000</v>
      </c>
      <c r="I93" s="126"/>
      <c r="J93" s="124">
        <v>2034</v>
      </c>
      <c r="L93" s="180"/>
      <c r="M93" s="185"/>
      <c r="N93" s="127"/>
      <c r="O93" s="186"/>
      <c r="P93" s="179"/>
      <c r="Q93" s="187"/>
      <c r="R93" s="118" t="s">
        <v>3670</v>
      </c>
      <c r="S93" s="118" t="s">
        <v>3669</v>
      </c>
    </row>
    <row r="94" spans="1:19" x14ac:dyDescent="0.25">
      <c r="A94" s="118" t="s">
        <v>3668</v>
      </c>
      <c r="B94" s="125" t="s">
        <v>3667</v>
      </c>
      <c r="C94" s="125">
        <v>2014</v>
      </c>
      <c r="E94" s="177"/>
      <c r="F94" s="177">
        <v>100</v>
      </c>
      <c r="G94" s="177"/>
      <c r="H94" s="177"/>
      <c r="L94" s="180"/>
      <c r="M94" s="185"/>
      <c r="N94" s="127"/>
      <c r="O94" s="186"/>
      <c r="P94" s="179"/>
      <c r="Q94" s="178"/>
      <c r="R94" s="118" t="s">
        <v>3666</v>
      </c>
      <c r="S94" s="184" t="s">
        <v>3665</v>
      </c>
    </row>
    <row r="95" spans="1:19" x14ac:dyDescent="0.25">
      <c r="A95" s="118" t="s">
        <v>3664</v>
      </c>
      <c r="B95" s="125" t="s">
        <v>3663</v>
      </c>
      <c r="C95" s="125">
        <v>2015</v>
      </c>
      <c r="E95" s="177"/>
      <c r="F95" s="177">
        <v>100</v>
      </c>
      <c r="G95" s="177"/>
      <c r="H95" s="177"/>
      <c r="J95" s="124">
        <v>2030</v>
      </c>
      <c r="L95" s="180"/>
      <c r="M95" s="185"/>
      <c r="N95" s="127"/>
      <c r="O95" s="186"/>
      <c r="P95" s="179"/>
      <c r="Q95" s="178"/>
      <c r="R95" s="118" t="s">
        <v>3660</v>
      </c>
      <c r="S95" s="184" t="s">
        <v>3659</v>
      </c>
    </row>
    <row r="96" spans="1:19" x14ac:dyDescent="0.25">
      <c r="A96" s="118" t="s">
        <v>3662</v>
      </c>
      <c r="B96" s="125" t="s">
        <v>3661</v>
      </c>
      <c r="C96" s="125">
        <v>2015</v>
      </c>
      <c r="E96" s="177"/>
      <c r="F96" s="177"/>
      <c r="G96" s="177"/>
      <c r="H96" s="177">
        <v>100</v>
      </c>
      <c r="J96" s="124">
        <v>2030</v>
      </c>
      <c r="L96" s="180"/>
      <c r="M96" s="185"/>
      <c r="N96" s="127"/>
      <c r="O96" s="186"/>
      <c r="P96" s="179"/>
      <c r="Q96" s="178"/>
      <c r="R96" s="118" t="s">
        <v>3660</v>
      </c>
      <c r="S96" s="184" t="s">
        <v>3659</v>
      </c>
    </row>
    <row r="97" spans="1:20" x14ac:dyDescent="0.25">
      <c r="A97" s="118" t="s">
        <v>3658</v>
      </c>
      <c r="B97" s="125" t="s">
        <v>3657</v>
      </c>
      <c r="C97" s="125">
        <v>2012</v>
      </c>
      <c r="D97" s="127">
        <v>48000</v>
      </c>
      <c r="E97" s="177"/>
      <c r="F97" s="177">
        <v>100</v>
      </c>
      <c r="G97" s="177"/>
      <c r="H97" s="177"/>
      <c r="I97" s="125">
        <v>20</v>
      </c>
      <c r="J97" s="124">
        <v>2032</v>
      </c>
      <c r="L97" s="180"/>
      <c r="M97" s="185"/>
      <c r="N97" s="127"/>
      <c r="O97" s="186"/>
      <c r="P97" s="179"/>
      <c r="Q97" s="178"/>
      <c r="R97" s="118" t="s">
        <v>3656</v>
      </c>
      <c r="S97" s="184" t="s">
        <v>3655</v>
      </c>
    </row>
    <row r="98" spans="1:20" x14ac:dyDescent="0.25">
      <c r="A98" s="118" t="s">
        <v>3654</v>
      </c>
      <c r="B98" s="125" t="s">
        <v>3653</v>
      </c>
      <c r="C98" s="125">
        <v>2015</v>
      </c>
      <c r="E98" s="177">
        <v>0.25</v>
      </c>
      <c r="F98" s="177">
        <v>0.25</v>
      </c>
      <c r="G98" s="177"/>
      <c r="H98" s="177">
        <v>0.5</v>
      </c>
      <c r="J98" s="124">
        <v>2036</v>
      </c>
      <c r="L98" s="180"/>
      <c r="M98" s="185"/>
      <c r="N98" s="127"/>
      <c r="O98" s="186">
        <v>50000</v>
      </c>
      <c r="P98" s="179"/>
      <c r="Q98" s="178"/>
      <c r="R98" s="118" t="s">
        <v>3642</v>
      </c>
      <c r="S98" s="184" t="s">
        <v>3652</v>
      </c>
    </row>
    <row r="99" spans="1:20" x14ac:dyDescent="0.25">
      <c r="A99" s="118" t="s">
        <v>3651</v>
      </c>
      <c r="B99" s="125" t="s">
        <v>3650</v>
      </c>
      <c r="C99" s="125">
        <v>2016</v>
      </c>
      <c r="E99" s="177">
        <v>0.25</v>
      </c>
      <c r="F99" s="177">
        <v>0.25</v>
      </c>
      <c r="G99" s="177">
        <v>0.25</v>
      </c>
      <c r="H99" s="177">
        <v>0.25</v>
      </c>
      <c r="I99" s="125">
        <v>20</v>
      </c>
      <c r="J99" s="124">
        <v>2036</v>
      </c>
      <c r="L99" s="180"/>
      <c r="M99" s="185"/>
      <c r="N99" s="185"/>
      <c r="O99" s="127"/>
      <c r="P99" s="179"/>
      <c r="Q99" s="178"/>
      <c r="R99" s="118" t="s">
        <v>3649</v>
      </c>
      <c r="S99" s="184" t="s">
        <v>3648</v>
      </c>
    </row>
    <row r="100" spans="1:20" x14ac:dyDescent="0.25">
      <c r="A100" s="118" t="s">
        <v>3647</v>
      </c>
      <c r="B100" s="125" t="s">
        <v>3646</v>
      </c>
      <c r="C100" s="125">
        <v>2016</v>
      </c>
      <c r="D100" s="127">
        <v>9000</v>
      </c>
      <c r="E100" s="177">
        <v>0.25</v>
      </c>
      <c r="F100" s="177">
        <v>0.25</v>
      </c>
      <c r="G100" s="177">
        <v>0.25</v>
      </c>
      <c r="H100" s="177">
        <v>0.25</v>
      </c>
      <c r="I100" s="125">
        <v>20</v>
      </c>
      <c r="J100" s="124">
        <v>2036</v>
      </c>
      <c r="L100" s="180"/>
      <c r="M100" s="185"/>
      <c r="N100" s="185">
        <v>30000</v>
      </c>
      <c r="O100" s="127"/>
      <c r="P100" s="179"/>
      <c r="Q100" s="178"/>
      <c r="R100" s="118" t="s">
        <v>3596</v>
      </c>
      <c r="S100" s="184" t="s">
        <v>3645</v>
      </c>
    </row>
    <row r="101" spans="1:20" x14ac:dyDescent="0.25">
      <c r="A101" s="118" t="s">
        <v>3644</v>
      </c>
      <c r="B101" s="125" t="s">
        <v>3643</v>
      </c>
      <c r="C101" s="125">
        <v>2016</v>
      </c>
      <c r="D101" s="127">
        <v>8000</v>
      </c>
      <c r="E101" s="177">
        <v>0.1</v>
      </c>
      <c r="F101" s="177">
        <v>0.1</v>
      </c>
      <c r="G101" s="177">
        <v>0.7</v>
      </c>
      <c r="H101" s="177">
        <v>0.1</v>
      </c>
      <c r="I101" s="125">
        <v>20</v>
      </c>
      <c r="J101" s="124">
        <v>2026</v>
      </c>
      <c r="L101" s="180"/>
      <c r="M101" s="185"/>
      <c r="N101" s="185"/>
      <c r="O101" s="127"/>
      <c r="P101" s="179"/>
      <c r="Q101" s="178"/>
      <c r="R101" s="118" t="s">
        <v>3642</v>
      </c>
      <c r="S101" s="184" t="s">
        <v>3641</v>
      </c>
    </row>
    <row r="102" spans="1:20" x14ac:dyDescent="0.25">
      <c r="A102" s="118" t="s">
        <v>3640</v>
      </c>
      <c r="B102" s="125" t="s">
        <v>3639</v>
      </c>
      <c r="C102" s="125">
        <v>2017</v>
      </c>
      <c r="D102" s="127">
        <v>9000</v>
      </c>
      <c r="E102" s="177"/>
      <c r="F102" s="177"/>
      <c r="G102" s="177"/>
      <c r="H102" s="177">
        <v>100</v>
      </c>
      <c r="I102" s="125">
        <v>30</v>
      </c>
      <c r="J102" s="124">
        <v>2047</v>
      </c>
      <c r="L102" s="180"/>
      <c r="M102" s="185"/>
      <c r="N102" s="185"/>
      <c r="O102" s="127"/>
      <c r="P102" s="179"/>
      <c r="Q102" s="178"/>
      <c r="R102" s="118" t="s">
        <v>3631</v>
      </c>
      <c r="S102" s="184" t="s">
        <v>3634</v>
      </c>
    </row>
    <row r="103" spans="1:20" x14ac:dyDescent="0.25">
      <c r="A103" s="118" t="s">
        <v>3638</v>
      </c>
      <c r="B103" s="125" t="s">
        <v>3637</v>
      </c>
      <c r="C103" s="125">
        <v>2017</v>
      </c>
      <c r="D103" s="127">
        <v>11000</v>
      </c>
      <c r="E103" s="177"/>
      <c r="F103" s="177"/>
      <c r="G103" s="177"/>
      <c r="H103" s="177">
        <v>100</v>
      </c>
      <c r="I103" s="125">
        <v>30</v>
      </c>
      <c r="J103" s="124">
        <v>2047</v>
      </c>
      <c r="L103" s="180"/>
      <c r="M103" s="185"/>
      <c r="N103" s="185"/>
      <c r="O103" s="127"/>
      <c r="P103" s="179"/>
      <c r="Q103" s="178"/>
      <c r="R103" s="118" t="s">
        <v>3631</v>
      </c>
      <c r="S103" s="184" t="s">
        <v>3634</v>
      </c>
    </row>
    <row r="104" spans="1:20" x14ac:dyDescent="0.25">
      <c r="A104" s="118" t="s">
        <v>3636</v>
      </c>
      <c r="B104" s="125" t="s">
        <v>3635</v>
      </c>
      <c r="C104" s="125">
        <v>2017</v>
      </c>
      <c r="D104" s="127">
        <v>11000</v>
      </c>
      <c r="E104" s="177"/>
      <c r="F104" s="177"/>
      <c r="G104" s="177"/>
      <c r="H104" s="177">
        <v>100</v>
      </c>
      <c r="I104" s="125">
        <v>30</v>
      </c>
      <c r="J104" s="124">
        <v>2047</v>
      </c>
      <c r="L104" s="180"/>
      <c r="M104" s="185"/>
      <c r="N104" s="185"/>
      <c r="O104" s="127"/>
      <c r="P104" s="179"/>
      <c r="Q104" s="178"/>
      <c r="R104" s="118" t="s">
        <v>3631</v>
      </c>
      <c r="S104" s="184" t="s">
        <v>3634</v>
      </c>
    </row>
    <row r="105" spans="1:20" x14ac:dyDescent="0.25">
      <c r="A105" s="118" t="s">
        <v>3633</v>
      </c>
      <c r="B105" s="125" t="s">
        <v>3632</v>
      </c>
      <c r="C105" s="125">
        <v>2017</v>
      </c>
      <c r="D105" s="127">
        <v>25000</v>
      </c>
      <c r="E105" s="177"/>
      <c r="F105" s="177"/>
      <c r="G105" s="177"/>
      <c r="H105" s="177">
        <v>100</v>
      </c>
      <c r="I105" s="125">
        <v>30</v>
      </c>
      <c r="J105" s="124">
        <v>2047</v>
      </c>
      <c r="L105" s="180"/>
      <c r="M105" s="185"/>
      <c r="N105" s="185"/>
      <c r="O105" s="127"/>
      <c r="P105" s="179"/>
      <c r="Q105" s="178"/>
      <c r="R105" s="118" t="s">
        <v>3631</v>
      </c>
      <c r="S105" s="184" t="s">
        <v>3630</v>
      </c>
    </row>
    <row r="106" spans="1:20" x14ac:dyDescent="0.25">
      <c r="A106" s="118" t="s">
        <v>3629</v>
      </c>
      <c r="B106" s="125" t="s">
        <v>3628</v>
      </c>
      <c r="C106" s="125">
        <v>2018</v>
      </c>
      <c r="D106" s="127">
        <v>22000</v>
      </c>
      <c r="J106" s="124">
        <v>2028</v>
      </c>
      <c r="L106" s="180"/>
      <c r="M106" s="185"/>
      <c r="N106" s="185"/>
      <c r="O106" s="127"/>
      <c r="P106" s="179"/>
      <c r="Q106" s="178"/>
      <c r="R106" s="118" t="s">
        <v>3613</v>
      </c>
      <c r="S106" s="184" t="s">
        <v>3612</v>
      </c>
    </row>
    <row r="107" spans="1:20" s="182" customFormat="1" x14ac:dyDescent="0.25">
      <c r="A107" s="118" t="s">
        <v>3627</v>
      </c>
      <c r="B107" s="128" t="s">
        <v>3626</v>
      </c>
      <c r="C107" s="125">
        <v>2020</v>
      </c>
      <c r="D107" s="127">
        <v>34000</v>
      </c>
      <c r="E107" s="126"/>
      <c r="F107" s="126"/>
      <c r="G107" s="126"/>
      <c r="H107" s="126"/>
      <c r="I107" s="125"/>
      <c r="J107" s="124"/>
      <c r="K107" s="123"/>
      <c r="L107" s="180"/>
      <c r="M107" s="127"/>
      <c r="N107" s="179"/>
      <c r="O107" s="127"/>
      <c r="P107" s="179"/>
      <c r="Q107" s="178"/>
      <c r="R107" s="118" t="s">
        <v>3625</v>
      </c>
      <c r="S107" s="184" t="s">
        <v>3624</v>
      </c>
      <c r="T107" s="183"/>
    </row>
    <row r="108" spans="1:20" s="182" customFormat="1" x14ac:dyDescent="0.25">
      <c r="A108" s="118" t="s">
        <v>3623</v>
      </c>
      <c r="B108" s="128" t="s">
        <v>3622</v>
      </c>
      <c r="C108" s="125">
        <v>2020</v>
      </c>
      <c r="D108" s="127">
        <v>37000</v>
      </c>
      <c r="E108" s="126"/>
      <c r="F108" s="126"/>
      <c r="G108" s="126"/>
      <c r="H108" s="126"/>
      <c r="I108" s="125"/>
      <c r="J108" s="124"/>
      <c r="K108" s="123"/>
      <c r="L108" s="180"/>
      <c r="M108" s="127"/>
      <c r="N108" s="179"/>
      <c r="O108" s="127"/>
      <c r="P108" s="179"/>
      <c r="Q108" s="178"/>
      <c r="R108" s="118" t="s">
        <v>3621</v>
      </c>
      <c r="S108" s="184" t="s">
        <v>3620</v>
      </c>
      <c r="T108" s="183"/>
    </row>
    <row r="109" spans="1:20" s="182" customFormat="1" x14ac:dyDescent="0.25">
      <c r="A109" s="118" t="s">
        <v>3619</v>
      </c>
      <c r="B109" s="128" t="s">
        <v>3618</v>
      </c>
      <c r="C109" s="125">
        <v>2020</v>
      </c>
      <c r="D109" s="127">
        <v>5000</v>
      </c>
      <c r="E109" s="126"/>
      <c r="F109" s="126"/>
      <c r="G109" s="126"/>
      <c r="H109" s="126"/>
      <c r="I109" s="125"/>
      <c r="J109" s="124"/>
      <c r="K109" s="123"/>
      <c r="L109" s="180"/>
      <c r="M109" s="127"/>
      <c r="N109" s="179"/>
      <c r="O109" s="127"/>
      <c r="P109" s="179"/>
      <c r="Q109" s="178"/>
      <c r="R109" s="118" t="s">
        <v>3617</v>
      </c>
      <c r="S109" s="184" t="s">
        <v>3616</v>
      </c>
      <c r="T109" s="183"/>
    </row>
    <row r="110" spans="1:20" s="182" customFormat="1" x14ac:dyDescent="0.25">
      <c r="A110" s="118" t="s">
        <v>3615</v>
      </c>
      <c r="B110" s="128" t="s">
        <v>3614</v>
      </c>
      <c r="C110" s="125">
        <v>2020</v>
      </c>
      <c r="D110" s="127">
        <v>19500</v>
      </c>
      <c r="E110" s="126"/>
      <c r="F110" s="126"/>
      <c r="G110" s="126"/>
      <c r="H110" s="126"/>
      <c r="I110" s="125"/>
      <c r="J110" s="124"/>
      <c r="K110" s="123"/>
      <c r="L110" s="180"/>
      <c r="M110" s="127"/>
      <c r="N110" s="179"/>
      <c r="O110" s="127"/>
      <c r="P110" s="179"/>
      <c r="Q110" s="178"/>
      <c r="R110" s="118" t="s">
        <v>3613</v>
      </c>
      <c r="S110" s="184" t="s">
        <v>3612</v>
      </c>
      <c r="T110" s="183"/>
    </row>
    <row r="111" spans="1:20" s="182" customFormat="1" x14ac:dyDescent="0.25">
      <c r="A111" s="118" t="s">
        <v>3611</v>
      </c>
      <c r="B111" s="128" t="s">
        <v>3610</v>
      </c>
      <c r="C111" s="125">
        <v>2020</v>
      </c>
      <c r="D111" s="127">
        <v>6500</v>
      </c>
      <c r="E111" s="126"/>
      <c r="F111" s="126"/>
      <c r="G111" s="126"/>
      <c r="H111" s="126"/>
      <c r="I111" s="125"/>
      <c r="J111" s="124"/>
      <c r="K111" s="123"/>
      <c r="L111" s="180"/>
      <c r="M111" s="127"/>
      <c r="N111" s="179"/>
      <c r="O111" s="127"/>
      <c r="P111" s="179"/>
      <c r="Q111" s="178"/>
      <c r="R111" s="118" t="s">
        <v>3609</v>
      </c>
      <c r="S111" s="184" t="s">
        <v>3608</v>
      </c>
      <c r="T111" s="183"/>
    </row>
    <row r="112" spans="1:20" s="182" customFormat="1" x14ac:dyDescent="0.25">
      <c r="A112" s="118" t="s">
        <v>3607</v>
      </c>
      <c r="B112" s="128" t="s">
        <v>3606</v>
      </c>
      <c r="C112" s="125">
        <v>2020</v>
      </c>
      <c r="D112" s="127">
        <v>17000</v>
      </c>
      <c r="E112" s="126"/>
      <c r="F112" s="126"/>
      <c r="G112" s="126"/>
      <c r="H112" s="126"/>
      <c r="I112" s="125"/>
      <c r="J112" s="124"/>
      <c r="K112" s="123"/>
      <c r="L112" s="180"/>
      <c r="M112" s="127"/>
      <c r="N112" s="179"/>
      <c r="O112" s="127"/>
      <c r="P112" s="179"/>
      <c r="Q112" s="178"/>
      <c r="R112" s="118" t="s">
        <v>3605</v>
      </c>
      <c r="S112" s="184" t="s">
        <v>3604</v>
      </c>
      <c r="T112" s="183"/>
    </row>
    <row r="113" spans="1:20" s="182" customFormat="1" x14ac:dyDescent="0.25">
      <c r="A113" s="118" t="s">
        <v>3603</v>
      </c>
      <c r="B113" s="128"/>
      <c r="C113" s="125"/>
      <c r="D113" s="127"/>
      <c r="E113" s="126"/>
      <c r="F113" s="126"/>
      <c r="G113" s="126"/>
      <c r="H113" s="126"/>
      <c r="I113" s="125"/>
      <c r="J113" s="124"/>
      <c r="K113" s="123"/>
      <c r="L113" s="180"/>
      <c r="M113" s="127">
        <v>15000</v>
      </c>
      <c r="N113" s="179"/>
      <c r="O113" s="127"/>
      <c r="P113" s="179"/>
      <c r="Q113" s="178"/>
      <c r="R113" s="118"/>
      <c r="S113" s="184"/>
      <c r="T113" s="183"/>
    </row>
    <row r="114" spans="1:20" s="182" customFormat="1" x14ac:dyDescent="0.25">
      <c r="A114" s="118" t="s">
        <v>3602</v>
      </c>
      <c r="B114" s="128" t="s">
        <v>3601</v>
      </c>
      <c r="C114" s="126"/>
      <c r="D114" s="127"/>
      <c r="E114" s="126"/>
      <c r="F114" s="126"/>
      <c r="G114" s="126"/>
      <c r="H114" s="126"/>
      <c r="I114" s="126"/>
      <c r="J114" s="118"/>
      <c r="K114" s="123"/>
      <c r="L114" s="180"/>
      <c r="M114" s="127"/>
      <c r="N114" s="179"/>
      <c r="O114" s="127"/>
      <c r="P114" s="179">
        <v>100000</v>
      </c>
      <c r="Q114" s="178"/>
      <c r="R114" s="118" t="s">
        <v>3596</v>
      </c>
      <c r="S114" s="184"/>
      <c r="T114" s="183"/>
    </row>
    <row r="115" spans="1:20" x14ac:dyDescent="0.25">
      <c r="A115" s="118" t="s">
        <v>3600</v>
      </c>
      <c r="L115" s="181">
        <v>10000</v>
      </c>
      <c r="M115" s="127"/>
      <c r="N115" s="179"/>
      <c r="O115" s="127"/>
      <c r="P115" s="179"/>
      <c r="Q115" s="178"/>
      <c r="R115" s="118" t="s">
        <v>3599</v>
      </c>
      <c r="S115" s="123" t="s">
        <v>3598</v>
      </c>
    </row>
    <row r="116" spans="1:20" x14ac:dyDescent="0.25">
      <c r="A116" s="129" t="s">
        <v>3597</v>
      </c>
      <c r="L116" s="180"/>
      <c r="M116" s="127">
        <v>100000</v>
      </c>
      <c r="N116" s="179"/>
      <c r="O116" s="127"/>
      <c r="P116" s="179"/>
      <c r="Q116" s="178"/>
      <c r="R116" s="118" t="s">
        <v>3596</v>
      </c>
      <c r="S116" s="123" t="s">
        <v>3595</v>
      </c>
    </row>
    <row r="117" spans="1:20" ht="15.75" thickBot="1" x14ac:dyDescent="0.3">
      <c r="A117" s="171"/>
      <c r="E117" s="177"/>
      <c r="F117" s="177"/>
      <c r="G117" s="177"/>
      <c r="H117" s="177"/>
      <c r="L117" s="176"/>
      <c r="M117" s="175"/>
      <c r="N117" s="175"/>
      <c r="O117" s="174"/>
      <c r="P117" s="173"/>
      <c r="Q117" s="172"/>
      <c r="R117" s="118"/>
    </row>
    <row r="118" spans="1:20" ht="15.75" thickBot="1" x14ac:dyDescent="0.3">
      <c r="A118" s="171" t="s">
        <v>3518</v>
      </c>
      <c r="K118" s="160"/>
      <c r="L118" s="170">
        <f t="shared" ref="L118:Q118" si="0">SUM(L7:L117)</f>
        <v>585000</v>
      </c>
      <c r="M118" s="169">
        <f t="shared" si="0"/>
        <v>585000</v>
      </c>
      <c r="N118" s="169">
        <f t="shared" si="0"/>
        <v>560000</v>
      </c>
      <c r="O118" s="169">
        <f t="shared" si="0"/>
        <v>555000</v>
      </c>
      <c r="P118" s="169">
        <f t="shared" si="0"/>
        <v>575000</v>
      </c>
      <c r="Q118" s="168">
        <f t="shared" si="0"/>
        <v>600000</v>
      </c>
      <c r="R118" s="118"/>
    </row>
    <row r="119" spans="1:20" ht="15.75" thickTop="1" x14ac:dyDescent="0.25">
      <c r="A119" s="155"/>
      <c r="C119" s="163"/>
      <c r="D119" s="165"/>
      <c r="E119" s="164"/>
      <c r="F119" s="164"/>
      <c r="G119" s="164"/>
      <c r="H119" s="164"/>
      <c r="I119" s="163"/>
      <c r="J119" s="162"/>
      <c r="K119" s="161"/>
      <c r="L119" s="166"/>
      <c r="M119" s="167"/>
      <c r="N119" s="167"/>
      <c r="O119" s="167"/>
      <c r="P119" s="167"/>
      <c r="Q119" s="166"/>
    </row>
    <row r="120" spans="1:20" x14ac:dyDescent="0.25">
      <c r="A120" s="155" t="s">
        <v>3594</v>
      </c>
      <c r="C120" s="163"/>
      <c r="D120" s="165"/>
      <c r="E120" s="164"/>
      <c r="F120" s="164"/>
      <c r="G120" s="164"/>
      <c r="H120" s="164"/>
      <c r="I120" s="163"/>
      <c r="J120" s="162"/>
      <c r="K120" s="161"/>
      <c r="L120" s="160"/>
      <c r="M120" s="161"/>
      <c r="N120" s="161"/>
      <c r="O120" s="161"/>
      <c r="P120" s="161"/>
      <c r="Q120" s="160"/>
      <c r="R120" s="118"/>
    </row>
    <row r="121" spans="1:20" x14ac:dyDescent="0.25">
      <c r="A121" s="158"/>
      <c r="B121" s="157"/>
      <c r="C121" s="147"/>
      <c r="D121" s="142"/>
      <c r="E121" s="150"/>
      <c r="F121" s="150"/>
      <c r="G121" s="150"/>
      <c r="H121" s="150"/>
      <c r="I121" s="147"/>
      <c r="J121" s="146"/>
      <c r="K121" s="145"/>
      <c r="L121" s="152"/>
      <c r="M121" s="153"/>
      <c r="N121" s="153"/>
      <c r="O121" s="153"/>
      <c r="P121" s="153"/>
      <c r="Q121" s="152"/>
      <c r="R121" s="138"/>
      <c r="S121" s="137"/>
    </row>
    <row r="122" spans="1:20" x14ac:dyDescent="0.25">
      <c r="A122" s="158"/>
      <c r="B122" s="154"/>
      <c r="C122" s="147"/>
      <c r="D122" s="142"/>
      <c r="E122" s="150"/>
      <c r="F122" s="150"/>
      <c r="G122" s="150"/>
      <c r="H122" s="150"/>
      <c r="I122" s="147"/>
      <c r="J122" s="146"/>
      <c r="K122" s="153"/>
      <c r="L122" s="152"/>
      <c r="M122" s="153"/>
      <c r="N122" s="153"/>
      <c r="O122" s="153"/>
      <c r="P122" s="153"/>
      <c r="Q122" s="152"/>
      <c r="R122" s="138"/>
      <c r="S122" s="137"/>
    </row>
    <row r="123" spans="1:20" x14ac:dyDescent="0.25">
      <c r="A123" s="158"/>
      <c r="B123" s="154"/>
      <c r="C123" s="147"/>
      <c r="D123" s="142"/>
      <c r="E123" s="150"/>
      <c r="F123" s="150"/>
      <c r="G123" s="150"/>
      <c r="H123" s="150"/>
      <c r="I123" s="147"/>
      <c r="J123" s="146"/>
      <c r="K123" s="153"/>
      <c r="L123" s="152"/>
      <c r="M123" s="153"/>
      <c r="N123" s="153"/>
      <c r="O123" s="153"/>
      <c r="P123" s="153"/>
      <c r="Q123" s="152"/>
      <c r="R123" s="138"/>
      <c r="S123" s="137"/>
    </row>
    <row r="124" spans="1:20" x14ac:dyDescent="0.25">
      <c r="A124" s="158"/>
      <c r="B124" s="154"/>
      <c r="C124" s="147"/>
      <c r="D124" s="142"/>
      <c r="E124" s="150"/>
      <c r="F124" s="150"/>
      <c r="G124" s="150"/>
      <c r="H124" s="150"/>
      <c r="I124" s="147"/>
      <c r="J124" s="146"/>
      <c r="K124" s="153"/>
      <c r="L124" s="152"/>
      <c r="M124" s="153"/>
      <c r="N124" s="153"/>
      <c r="O124" s="153"/>
      <c r="P124" s="153"/>
      <c r="Q124" s="152"/>
      <c r="R124" s="138"/>
      <c r="S124" s="137"/>
    </row>
    <row r="125" spans="1:20" x14ac:dyDescent="0.25">
      <c r="A125" s="158"/>
      <c r="B125" s="154"/>
      <c r="C125" s="147"/>
      <c r="D125" s="142"/>
      <c r="E125" s="150"/>
      <c r="F125" s="150"/>
      <c r="G125" s="150"/>
      <c r="H125" s="150"/>
      <c r="I125" s="147"/>
      <c r="J125" s="146"/>
      <c r="K125" s="153"/>
      <c r="L125" s="152"/>
      <c r="M125" s="153"/>
      <c r="N125" s="153"/>
      <c r="O125" s="153"/>
      <c r="P125" s="153"/>
      <c r="Q125" s="152"/>
      <c r="R125" s="138"/>
      <c r="S125" s="137"/>
    </row>
    <row r="126" spans="1:20" x14ac:dyDescent="0.25">
      <c r="A126" s="158"/>
      <c r="B126" s="154"/>
      <c r="C126" s="147"/>
      <c r="D126" s="142"/>
      <c r="E126" s="150"/>
      <c r="F126" s="150"/>
      <c r="G126" s="150"/>
      <c r="H126" s="150"/>
      <c r="I126" s="147"/>
      <c r="J126" s="146"/>
      <c r="K126" s="145"/>
      <c r="L126" s="152"/>
      <c r="M126" s="153"/>
      <c r="N126" s="153"/>
      <c r="O126" s="153"/>
      <c r="P126" s="153"/>
      <c r="Q126" s="152"/>
      <c r="R126" s="138"/>
      <c r="S126" s="137"/>
    </row>
    <row r="127" spans="1:20" x14ac:dyDescent="0.25">
      <c r="A127" s="158"/>
      <c r="B127" s="154"/>
      <c r="C127" s="147"/>
      <c r="D127" s="142"/>
      <c r="E127" s="150"/>
      <c r="F127" s="150"/>
      <c r="G127" s="150"/>
      <c r="H127" s="150"/>
      <c r="I127" s="147"/>
      <c r="J127" s="146"/>
      <c r="K127" s="145"/>
      <c r="L127" s="152"/>
      <c r="M127" s="153"/>
      <c r="N127" s="153"/>
      <c r="O127" s="153"/>
      <c r="P127" s="153"/>
      <c r="Q127" s="152"/>
      <c r="R127" s="138"/>
      <c r="S127" s="137"/>
    </row>
    <row r="128" spans="1:20" x14ac:dyDescent="0.25">
      <c r="A128" s="158"/>
      <c r="B128" s="154"/>
      <c r="C128" s="147"/>
      <c r="D128" s="142"/>
      <c r="E128" s="148"/>
      <c r="F128" s="148"/>
      <c r="G128" s="148"/>
      <c r="H128" s="148"/>
      <c r="I128" s="147"/>
      <c r="J128" s="146"/>
      <c r="K128" s="145"/>
      <c r="L128" s="152"/>
      <c r="M128" s="153"/>
      <c r="N128" s="153"/>
      <c r="O128" s="153"/>
      <c r="P128" s="153"/>
      <c r="Q128" s="152"/>
      <c r="R128" s="138"/>
      <c r="S128" s="137"/>
    </row>
    <row r="129" spans="1:19" x14ac:dyDescent="0.25">
      <c r="A129" s="159"/>
      <c r="B129" s="154"/>
      <c r="C129" s="147"/>
      <c r="D129" s="142"/>
      <c r="E129" s="148"/>
      <c r="F129" s="148"/>
      <c r="G129" s="148"/>
      <c r="H129" s="148"/>
      <c r="I129" s="147"/>
      <c r="J129" s="146"/>
      <c r="K129" s="145"/>
      <c r="L129" s="152"/>
      <c r="M129" s="153"/>
      <c r="N129" s="153"/>
      <c r="O129" s="153"/>
      <c r="P129" s="153"/>
      <c r="Q129" s="152"/>
      <c r="R129" s="138"/>
      <c r="S129" s="137"/>
    </row>
    <row r="130" spans="1:19" x14ac:dyDescent="0.25">
      <c r="A130" s="159"/>
      <c r="B130" s="154"/>
      <c r="C130" s="147"/>
      <c r="D130" s="142"/>
      <c r="E130" s="148"/>
      <c r="F130" s="148"/>
      <c r="G130" s="148"/>
      <c r="H130" s="148"/>
      <c r="I130" s="147"/>
      <c r="J130" s="146"/>
      <c r="K130" s="145"/>
      <c r="L130" s="152"/>
      <c r="M130" s="153"/>
      <c r="N130" s="153"/>
      <c r="O130" s="153"/>
      <c r="P130" s="153"/>
      <c r="Q130" s="152"/>
      <c r="R130" s="138"/>
      <c r="S130" s="137"/>
    </row>
    <row r="131" spans="1:19" x14ac:dyDescent="0.25">
      <c r="A131" s="158"/>
      <c r="B131" s="154"/>
      <c r="C131" s="147"/>
      <c r="D131" s="142"/>
      <c r="E131" s="150"/>
      <c r="F131" s="150"/>
      <c r="G131" s="150"/>
      <c r="H131" s="150"/>
      <c r="I131" s="147"/>
      <c r="J131" s="146"/>
      <c r="K131" s="145"/>
      <c r="L131" s="142"/>
      <c r="M131" s="143"/>
      <c r="N131" s="142"/>
      <c r="O131" s="141"/>
      <c r="P131" s="140"/>
      <c r="Q131" s="143"/>
      <c r="R131" s="150"/>
      <c r="S131" s="137"/>
    </row>
    <row r="132" spans="1:19" x14ac:dyDescent="0.25">
      <c r="A132" s="158"/>
      <c r="B132" s="157"/>
      <c r="C132" s="147"/>
      <c r="D132" s="142"/>
      <c r="E132" s="150"/>
      <c r="F132" s="150"/>
      <c r="G132" s="150"/>
      <c r="H132" s="150"/>
      <c r="I132" s="147"/>
      <c r="J132" s="146"/>
      <c r="K132" s="145"/>
      <c r="L132" s="142"/>
      <c r="M132" s="143"/>
      <c r="N132" s="142"/>
      <c r="O132" s="141"/>
      <c r="P132" s="140"/>
      <c r="Q132" s="143"/>
      <c r="R132" s="150"/>
      <c r="S132" s="137"/>
    </row>
    <row r="133" spans="1:19" x14ac:dyDescent="0.25">
      <c r="B133" s="154"/>
      <c r="C133" s="147"/>
      <c r="D133" s="142"/>
      <c r="E133" s="150"/>
      <c r="F133" s="150"/>
      <c r="G133" s="150"/>
      <c r="H133" s="150"/>
      <c r="I133" s="147"/>
      <c r="J133" s="146"/>
      <c r="K133" s="153"/>
      <c r="L133" s="156"/>
      <c r="M133" s="143"/>
      <c r="N133" s="142"/>
      <c r="O133" s="141"/>
      <c r="P133" s="140"/>
      <c r="Q133" s="139"/>
      <c r="R133" s="138"/>
      <c r="S133" s="137"/>
    </row>
    <row r="140" spans="1:19" x14ac:dyDescent="0.25">
      <c r="A140" s="155" t="s">
        <v>3593</v>
      </c>
      <c r="L140" s="126"/>
      <c r="Q140" s="126"/>
      <c r="R140" s="118"/>
    </row>
    <row r="141" spans="1:19" x14ac:dyDescent="0.25">
      <c r="A141" s="138"/>
      <c r="B141" s="154"/>
      <c r="C141" s="147"/>
      <c r="D141" s="142"/>
      <c r="E141" s="148"/>
      <c r="F141" s="148"/>
      <c r="G141" s="148"/>
      <c r="H141" s="148"/>
      <c r="I141" s="147"/>
      <c r="J141" s="146"/>
      <c r="K141" s="145"/>
      <c r="L141" s="152"/>
      <c r="M141" s="153"/>
      <c r="N141" s="153"/>
      <c r="O141" s="153"/>
      <c r="P141" s="153"/>
      <c r="Q141" s="152"/>
      <c r="R141" s="138"/>
      <c r="S141" s="137"/>
    </row>
    <row r="142" spans="1:19" x14ac:dyDescent="0.25">
      <c r="B142" s="150"/>
      <c r="C142" s="151"/>
      <c r="D142" s="142"/>
      <c r="E142" s="150"/>
      <c r="F142" s="150"/>
      <c r="G142" s="150"/>
      <c r="H142" s="150"/>
      <c r="I142" s="150"/>
      <c r="J142" s="138"/>
      <c r="K142" s="149"/>
      <c r="L142" s="144"/>
      <c r="M142" s="143"/>
      <c r="N142" s="142"/>
      <c r="O142" s="141"/>
      <c r="P142" s="140"/>
      <c r="Q142" s="143"/>
      <c r="R142" s="138"/>
      <c r="S142" s="138"/>
    </row>
    <row r="143" spans="1:19" x14ac:dyDescent="0.25">
      <c r="B143" s="147"/>
      <c r="C143" s="147"/>
      <c r="D143" s="142"/>
      <c r="E143" s="148"/>
      <c r="F143" s="148"/>
      <c r="G143" s="148"/>
      <c r="H143" s="148"/>
      <c r="I143" s="147"/>
      <c r="J143" s="146"/>
      <c r="K143" s="145"/>
      <c r="L143" s="144"/>
      <c r="M143" s="143"/>
      <c r="N143" s="142"/>
      <c r="O143" s="141"/>
      <c r="P143" s="140"/>
      <c r="Q143" s="139"/>
      <c r="R143" s="138"/>
      <c r="S143" s="137"/>
    </row>
    <row r="151" spans="1:19" ht="15.75" thickBot="1" x14ac:dyDescent="0.3">
      <c r="A151" s="136"/>
      <c r="B151" s="135"/>
      <c r="C151" s="133"/>
      <c r="D151" s="134"/>
      <c r="E151" s="130"/>
      <c r="F151" s="130"/>
      <c r="G151" s="130"/>
      <c r="H151" s="130"/>
      <c r="I151" s="133"/>
      <c r="J151" s="132"/>
      <c r="K151" s="131"/>
      <c r="L151" s="131"/>
      <c r="M151" s="131"/>
      <c r="N151" s="131"/>
      <c r="O151" s="131"/>
      <c r="P151" s="131"/>
      <c r="Q151" s="131"/>
      <c r="R151" s="131"/>
      <c r="S151" s="130"/>
    </row>
  </sheetData>
  <conditionalFormatting sqref="A7:S47 A52:S152">
    <cfRule type="expression" dxfId="0" priority="0">
      <formula>MOD(ROW(),2)=1</formula>
    </cfRule>
  </conditionalFormatting>
  <pageMargins left="0.2" right="0.2" top="0.75" bottom="0.75" header="0.3" footer="0.3"/>
  <pageSetup paperSize="3" scale="7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B228F-C851-45D2-9419-9D10AFDC98F0}">
  <sheetPr>
    <tabColor theme="3" tint="0.39997558519241921"/>
  </sheetPr>
  <dimension ref="A1:F170"/>
  <sheetViews>
    <sheetView workbookViewId="0">
      <pane ySplit="4" topLeftCell="A5" activePane="bottomLeft" state="frozen"/>
      <selection activeCell="C5" sqref="C5"/>
      <selection pane="bottomLeft" activeCell="B5" sqref="B5"/>
    </sheetView>
  </sheetViews>
  <sheetFormatPr defaultColWidth="9.140625" defaultRowHeight="15" x14ac:dyDescent="0.25"/>
  <cols>
    <col min="1" max="1" width="23.7109375" style="115" bestFit="1" customWidth="1"/>
    <col min="2" max="2" width="51.5703125" style="115" bestFit="1" customWidth="1"/>
    <col min="3" max="3" width="13.28515625" style="116" bestFit="1" customWidth="1"/>
    <col min="4" max="4" width="26.42578125" style="115" bestFit="1" customWidth="1"/>
    <col min="5" max="5" width="53.5703125" style="115" bestFit="1" customWidth="1"/>
    <col min="6" max="6" width="23.5703125" style="115" bestFit="1" customWidth="1"/>
    <col min="7" max="16384" width="9.140625" style="115"/>
  </cols>
  <sheetData>
    <row r="1" spans="1:6" x14ac:dyDescent="0.25">
      <c r="A1" s="100" t="s">
        <v>3569</v>
      </c>
    </row>
    <row r="4" spans="1:6" x14ac:dyDescent="0.25">
      <c r="A4" s="320" t="s">
        <v>3568</v>
      </c>
      <c r="B4" s="320"/>
      <c r="C4" s="119" t="s">
        <v>3567</v>
      </c>
      <c r="D4" s="320" t="s">
        <v>3566</v>
      </c>
      <c r="E4" s="320"/>
    </row>
    <row r="5" spans="1:6" x14ac:dyDescent="0.25">
      <c r="A5" s="118" t="s">
        <v>2512</v>
      </c>
      <c r="B5" s="118" t="s">
        <v>2513</v>
      </c>
      <c r="C5" s="117">
        <v>400000</v>
      </c>
      <c r="D5" s="115" t="s">
        <v>1065</v>
      </c>
      <c r="E5" s="118" t="s">
        <v>1066</v>
      </c>
      <c r="F5" s="118"/>
    </row>
    <row r="6" spans="1:6" x14ac:dyDescent="0.25">
      <c r="A6" s="118" t="s">
        <v>2514</v>
      </c>
      <c r="B6" s="118" t="s">
        <v>2515</v>
      </c>
      <c r="C6" s="117">
        <v>0</v>
      </c>
      <c r="D6" s="321" t="s">
        <v>757</v>
      </c>
      <c r="E6" s="322" t="s">
        <v>742</v>
      </c>
      <c r="F6" s="118"/>
    </row>
    <row r="7" spans="1:6" x14ac:dyDescent="0.25">
      <c r="A7" s="118" t="s">
        <v>2516</v>
      </c>
      <c r="B7" s="118" t="s">
        <v>2517</v>
      </c>
      <c r="C7" s="117">
        <v>0</v>
      </c>
      <c r="D7" s="321"/>
      <c r="E7" s="322"/>
    </row>
    <row r="8" spans="1:6" x14ac:dyDescent="0.25">
      <c r="A8" s="118" t="s">
        <v>2518</v>
      </c>
      <c r="B8" s="118" t="s">
        <v>2519</v>
      </c>
      <c r="C8" s="117">
        <v>0</v>
      </c>
      <c r="D8" s="115" t="s">
        <v>745</v>
      </c>
      <c r="E8" s="115" t="s">
        <v>746</v>
      </c>
    </row>
    <row r="9" spans="1:6" x14ac:dyDescent="0.25">
      <c r="A9" s="115" t="s">
        <v>2520</v>
      </c>
      <c r="B9" s="115" t="s">
        <v>2521</v>
      </c>
      <c r="C9" s="116">
        <v>24000</v>
      </c>
      <c r="D9" s="115" t="s">
        <v>1141</v>
      </c>
      <c r="E9" s="115" t="s">
        <v>1142</v>
      </c>
    </row>
    <row r="10" spans="1:6" x14ac:dyDescent="0.25">
      <c r="A10" s="115" t="s">
        <v>2522</v>
      </c>
      <c r="B10" s="115" t="s">
        <v>2523</v>
      </c>
      <c r="C10" s="116">
        <v>50000</v>
      </c>
      <c r="D10" s="115" t="s">
        <v>1040</v>
      </c>
      <c r="E10" s="115" t="s">
        <v>1041</v>
      </c>
    </row>
    <row r="11" spans="1:6" x14ac:dyDescent="0.25">
      <c r="A11" s="115" t="s">
        <v>2524</v>
      </c>
      <c r="B11" s="115" t="s">
        <v>2525</v>
      </c>
      <c r="C11" s="116">
        <v>25000</v>
      </c>
      <c r="D11" s="115" t="s">
        <v>1062</v>
      </c>
      <c r="E11" s="115" t="s">
        <v>742</v>
      </c>
    </row>
    <row r="12" spans="1:6" x14ac:dyDescent="0.25">
      <c r="A12" s="115" t="s">
        <v>2526</v>
      </c>
      <c r="B12" s="115" t="s">
        <v>2527</v>
      </c>
      <c r="C12" s="120">
        <v>0</v>
      </c>
      <c r="D12" s="115" t="s">
        <v>3563</v>
      </c>
    </row>
    <row r="13" spans="1:6" x14ac:dyDescent="0.25">
      <c r="A13" s="115" t="s">
        <v>2528</v>
      </c>
      <c r="B13" s="115" t="s">
        <v>2529</v>
      </c>
      <c r="C13" s="116">
        <v>0</v>
      </c>
      <c r="D13" s="115" t="s">
        <v>1202</v>
      </c>
      <c r="E13" s="115" t="s">
        <v>1203</v>
      </c>
    </row>
    <row r="14" spans="1:6" x14ac:dyDescent="0.25">
      <c r="A14" s="115" t="s">
        <v>2530</v>
      </c>
      <c r="B14" s="115" t="s">
        <v>2531</v>
      </c>
      <c r="C14" s="120">
        <v>0</v>
      </c>
      <c r="D14" s="115" t="s">
        <v>3563</v>
      </c>
    </row>
    <row r="15" spans="1:6" x14ac:dyDescent="0.25">
      <c r="A15" s="115" t="s">
        <v>2554</v>
      </c>
      <c r="B15" s="115" t="s">
        <v>2555</v>
      </c>
      <c r="C15" s="116">
        <v>110000</v>
      </c>
      <c r="D15" s="115" t="s">
        <v>709</v>
      </c>
      <c r="E15" s="115" t="s">
        <v>710</v>
      </c>
    </row>
    <row r="16" spans="1:6" x14ac:dyDescent="0.25">
      <c r="B16" s="115" t="s">
        <v>3563</v>
      </c>
      <c r="C16" s="116">
        <v>0</v>
      </c>
      <c r="D16" s="115" t="s">
        <v>741</v>
      </c>
      <c r="E16" s="115" t="s">
        <v>742</v>
      </c>
    </row>
    <row r="17" spans="1:5" x14ac:dyDescent="0.25">
      <c r="A17" s="115" t="s">
        <v>2560</v>
      </c>
      <c r="B17" s="115" t="s">
        <v>2561</v>
      </c>
      <c r="C17" s="116">
        <v>500000</v>
      </c>
      <c r="D17" s="115" t="s">
        <v>778</v>
      </c>
      <c r="E17" s="115" t="s">
        <v>779</v>
      </c>
    </row>
    <row r="18" spans="1:5" x14ac:dyDescent="0.25">
      <c r="A18" s="115" t="s">
        <v>2562</v>
      </c>
      <c r="B18" s="115" t="s">
        <v>2555</v>
      </c>
      <c r="C18" s="116">
        <v>100000</v>
      </c>
      <c r="D18" s="115" t="s">
        <v>711</v>
      </c>
      <c r="E18" s="115" t="s">
        <v>712</v>
      </c>
    </row>
    <row r="19" spans="1:5" x14ac:dyDescent="0.25">
      <c r="A19" s="115" t="s">
        <v>2566</v>
      </c>
      <c r="B19" s="115" t="s">
        <v>2567</v>
      </c>
      <c r="C19" s="116">
        <v>100000</v>
      </c>
      <c r="D19" s="115" t="s">
        <v>758</v>
      </c>
      <c r="E19" s="115" t="s">
        <v>759</v>
      </c>
    </row>
    <row r="20" spans="1:5" x14ac:dyDescent="0.25">
      <c r="A20" s="115" t="s">
        <v>2568</v>
      </c>
      <c r="B20" s="115" t="s">
        <v>2555</v>
      </c>
      <c r="C20" s="116">
        <v>40000</v>
      </c>
      <c r="D20" s="115" t="s">
        <v>713</v>
      </c>
      <c r="E20" s="115" t="s">
        <v>714</v>
      </c>
    </row>
    <row r="21" spans="1:5" x14ac:dyDescent="0.25">
      <c r="A21" s="115" t="s">
        <v>2586</v>
      </c>
      <c r="B21" s="115" t="s">
        <v>2587</v>
      </c>
      <c r="C21" s="116">
        <v>0</v>
      </c>
      <c r="D21" s="115" t="s">
        <v>2586</v>
      </c>
      <c r="E21" s="115" t="s">
        <v>2587</v>
      </c>
    </row>
    <row r="22" spans="1:5" x14ac:dyDescent="0.25">
      <c r="A22" s="115" t="s">
        <v>2588</v>
      </c>
      <c r="B22" s="115" t="s">
        <v>2589</v>
      </c>
      <c r="C22" s="116">
        <v>0</v>
      </c>
      <c r="D22" s="115" t="s">
        <v>1260</v>
      </c>
      <c r="E22" s="115" t="s">
        <v>1261</v>
      </c>
    </row>
    <row r="23" spans="1:5" x14ac:dyDescent="0.25">
      <c r="A23" s="115" t="s">
        <v>2598</v>
      </c>
      <c r="B23" s="115" t="s">
        <v>2599</v>
      </c>
      <c r="C23" s="120">
        <v>0</v>
      </c>
      <c r="D23" s="115" t="s">
        <v>3563</v>
      </c>
    </row>
    <row r="24" spans="1:5" x14ac:dyDescent="0.25">
      <c r="A24" s="115" t="s">
        <v>2600</v>
      </c>
      <c r="B24" s="115" t="s">
        <v>2601</v>
      </c>
      <c r="C24" s="116">
        <v>0</v>
      </c>
      <c r="D24" s="115" t="s">
        <v>774</v>
      </c>
      <c r="E24" s="115" t="s">
        <v>775</v>
      </c>
    </row>
    <row r="25" spans="1:5" x14ac:dyDescent="0.25">
      <c r="A25" s="115" t="s">
        <v>2602</v>
      </c>
      <c r="B25" s="115" t="s">
        <v>2603</v>
      </c>
      <c r="C25" s="120">
        <v>0</v>
      </c>
      <c r="D25" s="115" t="s">
        <v>3563</v>
      </c>
    </row>
    <row r="26" spans="1:5" x14ac:dyDescent="0.25">
      <c r="A26" s="115" t="s">
        <v>2671</v>
      </c>
      <c r="B26" s="115" t="s">
        <v>2672</v>
      </c>
      <c r="C26" s="116">
        <v>0</v>
      </c>
      <c r="D26" s="115" t="s">
        <v>1058</v>
      </c>
      <c r="E26" s="115" t="s">
        <v>1059</v>
      </c>
    </row>
    <row r="27" spans="1:5" x14ac:dyDescent="0.25">
      <c r="A27" s="115" t="s">
        <v>2673</v>
      </c>
      <c r="B27" s="115" t="s">
        <v>2674</v>
      </c>
      <c r="C27" s="116">
        <v>1000000</v>
      </c>
      <c r="D27" s="115" t="s">
        <v>2673</v>
      </c>
      <c r="E27" s="115" t="s">
        <v>2674</v>
      </c>
    </row>
    <row r="28" spans="1:5" x14ac:dyDescent="0.25">
      <c r="A28" s="115" t="s">
        <v>2675</v>
      </c>
      <c r="B28" s="115" t="s">
        <v>2676</v>
      </c>
      <c r="C28" s="120">
        <v>500000</v>
      </c>
      <c r="D28" s="270" t="s">
        <v>3419</v>
      </c>
      <c r="E28" s="115" t="s">
        <v>4103</v>
      </c>
    </row>
    <row r="29" spans="1:5" x14ac:dyDescent="0.25">
      <c r="A29" s="115" t="s">
        <v>2677</v>
      </c>
      <c r="B29" s="115" t="s">
        <v>2678</v>
      </c>
      <c r="C29" s="120">
        <v>0</v>
      </c>
      <c r="D29" s="115" t="s">
        <v>3563</v>
      </c>
    </row>
    <row r="30" spans="1:5" x14ac:dyDescent="0.25">
      <c r="A30" s="115" t="s">
        <v>2679</v>
      </c>
      <c r="B30" s="115" t="s">
        <v>2680</v>
      </c>
      <c r="C30" s="120">
        <v>0</v>
      </c>
      <c r="D30" s="115" t="s">
        <v>3563</v>
      </c>
    </row>
    <row r="31" spans="1:5" x14ac:dyDescent="0.25">
      <c r="A31" s="115" t="s">
        <v>2681</v>
      </c>
      <c r="B31" s="115" t="s">
        <v>2682</v>
      </c>
      <c r="C31" s="116">
        <v>0</v>
      </c>
      <c r="D31" s="115" t="s">
        <v>1073</v>
      </c>
      <c r="E31" s="115" t="s">
        <v>1074</v>
      </c>
    </row>
    <row r="32" spans="1:5" x14ac:dyDescent="0.25">
      <c r="A32" s="115" t="s">
        <v>2683</v>
      </c>
      <c r="B32" s="115" t="s">
        <v>2684</v>
      </c>
      <c r="C32" s="116">
        <v>150000</v>
      </c>
      <c r="D32" s="115" t="s">
        <v>1212</v>
      </c>
      <c r="E32" s="115" t="s">
        <v>1213</v>
      </c>
    </row>
    <row r="33" spans="1:5" x14ac:dyDescent="0.25">
      <c r="A33" s="115" t="s">
        <v>2685</v>
      </c>
      <c r="B33" s="115" t="s">
        <v>2686</v>
      </c>
      <c r="C33" s="116">
        <v>0</v>
      </c>
      <c r="D33" s="115" t="s">
        <v>1204</v>
      </c>
      <c r="E33" s="115" t="s">
        <v>1205</v>
      </c>
    </row>
    <row r="34" spans="1:5" x14ac:dyDescent="0.25">
      <c r="A34" s="115" t="s">
        <v>2687</v>
      </c>
      <c r="B34" s="115" t="s">
        <v>2688</v>
      </c>
      <c r="C34" s="116">
        <v>250000</v>
      </c>
      <c r="D34" s="115" t="s">
        <v>1071</v>
      </c>
      <c r="E34" s="115" t="s">
        <v>1072</v>
      </c>
    </row>
    <row r="35" spans="1:5" x14ac:dyDescent="0.25">
      <c r="A35" s="115" t="s">
        <v>2689</v>
      </c>
      <c r="B35" s="115" t="s">
        <v>2690</v>
      </c>
      <c r="C35" s="116">
        <v>250000</v>
      </c>
      <c r="D35" s="115" t="s">
        <v>3565</v>
      </c>
    </row>
    <row r="36" spans="1:5" x14ac:dyDescent="0.25">
      <c r="A36" s="115" t="s">
        <v>2767</v>
      </c>
      <c r="B36" s="115" t="s">
        <v>2768</v>
      </c>
      <c r="C36" s="120">
        <v>0</v>
      </c>
      <c r="D36" s="115" t="s">
        <v>3563</v>
      </c>
    </row>
    <row r="37" spans="1:5" x14ac:dyDescent="0.25">
      <c r="A37" s="115" t="s">
        <v>2769</v>
      </c>
      <c r="B37" s="115" t="s">
        <v>2770</v>
      </c>
      <c r="C37" s="116">
        <v>70000</v>
      </c>
      <c r="D37" s="115" t="s">
        <v>1042</v>
      </c>
      <c r="E37" s="115" t="s">
        <v>1043</v>
      </c>
    </row>
    <row r="38" spans="1:5" x14ac:dyDescent="0.25">
      <c r="A38" s="115" t="s">
        <v>2771</v>
      </c>
      <c r="B38" s="115" t="s">
        <v>2772</v>
      </c>
      <c r="C38" s="116">
        <v>50000</v>
      </c>
      <c r="D38" s="115" t="s">
        <v>764</v>
      </c>
      <c r="E38" s="115" t="s">
        <v>765</v>
      </c>
    </row>
    <row r="39" spans="1:5" x14ac:dyDescent="0.25">
      <c r="A39" s="115" t="s">
        <v>2784</v>
      </c>
      <c r="B39" s="115" t="s">
        <v>2785</v>
      </c>
      <c r="C39" s="116">
        <v>5000</v>
      </c>
      <c r="D39" s="115" t="s">
        <v>1171</v>
      </c>
      <c r="E39" s="115" t="s">
        <v>1172</v>
      </c>
    </row>
    <row r="40" spans="1:5" x14ac:dyDescent="0.25">
      <c r="A40" s="115" t="s">
        <v>2792</v>
      </c>
      <c r="B40" s="115" t="s">
        <v>2793</v>
      </c>
      <c r="C40" s="116">
        <v>0</v>
      </c>
      <c r="D40" s="115" t="s">
        <v>766</v>
      </c>
      <c r="E40" s="115" t="s">
        <v>767</v>
      </c>
    </row>
    <row r="41" spans="1:5" x14ac:dyDescent="0.25">
      <c r="A41" s="115" t="s">
        <v>2806</v>
      </c>
      <c r="B41" s="115" t="s">
        <v>2807</v>
      </c>
      <c r="C41" s="116">
        <v>200000</v>
      </c>
      <c r="D41" s="115" t="s">
        <v>768</v>
      </c>
      <c r="E41" s="115" t="s">
        <v>769</v>
      </c>
    </row>
    <row r="42" spans="1:5" x14ac:dyDescent="0.25">
      <c r="A42" s="115" t="s">
        <v>2808</v>
      </c>
      <c r="B42" s="115" t="s">
        <v>2809</v>
      </c>
      <c r="C42" s="116">
        <v>65000</v>
      </c>
      <c r="D42" s="115" t="s">
        <v>1196</v>
      </c>
      <c r="E42" s="115" t="s">
        <v>1197</v>
      </c>
    </row>
    <row r="43" spans="1:5" x14ac:dyDescent="0.25">
      <c r="A43" s="115" t="s">
        <v>2810</v>
      </c>
      <c r="B43" s="115" t="s">
        <v>2811</v>
      </c>
      <c r="C43" s="116">
        <v>25000</v>
      </c>
      <c r="D43" s="115" t="s">
        <v>1044</v>
      </c>
      <c r="E43" s="115" t="s">
        <v>1045</v>
      </c>
    </row>
    <row r="44" spans="1:5" x14ac:dyDescent="0.25">
      <c r="A44" s="115" t="s">
        <v>2812</v>
      </c>
      <c r="B44" s="115" t="s">
        <v>2813</v>
      </c>
      <c r="C44" s="116">
        <v>25000</v>
      </c>
      <c r="D44" s="115" t="s">
        <v>707</v>
      </c>
      <c r="E44" s="115" t="s">
        <v>708</v>
      </c>
    </row>
    <row r="45" spans="1:5" x14ac:dyDescent="0.25">
      <c r="A45" s="115" t="s">
        <v>2819</v>
      </c>
      <c r="B45" s="115" t="s">
        <v>2820</v>
      </c>
      <c r="C45" s="116">
        <v>85000</v>
      </c>
      <c r="D45" s="115" t="s">
        <v>770</v>
      </c>
      <c r="E45" s="115" t="s">
        <v>771</v>
      </c>
    </row>
    <row r="46" spans="1:5" x14ac:dyDescent="0.25">
      <c r="A46" s="115" t="s">
        <v>2821</v>
      </c>
      <c r="B46" s="115" t="s">
        <v>2822</v>
      </c>
      <c r="C46" s="116">
        <v>85000</v>
      </c>
      <c r="D46" s="115" t="s">
        <v>1198</v>
      </c>
      <c r="E46" s="115" t="s">
        <v>1199</v>
      </c>
    </row>
    <row r="47" spans="1:5" x14ac:dyDescent="0.25">
      <c r="A47" s="115" t="s">
        <v>2828</v>
      </c>
      <c r="B47" s="115" t="s">
        <v>2829</v>
      </c>
      <c r="C47" s="116">
        <v>50000</v>
      </c>
      <c r="D47" s="115" t="s">
        <v>772</v>
      </c>
      <c r="E47" s="115" t="s">
        <v>773</v>
      </c>
    </row>
    <row r="48" spans="1:5" x14ac:dyDescent="0.25">
      <c r="A48" s="115" t="s">
        <v>2830</v>
      </c>
      <c r="B48" s="115" t="s">
        <v>2809</v>
      </c>
      <c r="C48" s="116">
        <v>60000</v>
      </c>
      <c r="D48" s="115" t="s">
        <v>1200</v>
      </c>
      <c r="E48" s="115" t="s">
        <v>1201</v>
      </c>
    </row>
    <row r="49" spans="1:6" x14ac:dyDescent="0.25">
      <c r="A49" s="115" t="s">
        <v>2852</v>
      </c>
      <c r="B49" s="115" t="s">
        <v>2853</v>
      </c>
      <c r="C49" s="116">
        <v>75000</v>
      </c>
      <c r="D49" s="115" t="s">
        <v>1208</v>
      </c>
      <c r="E49" s="115" t="s">
        <v>1209</v>
      </c>
    </row>
    <row r="50" spans="1:6" x14ac:dyDescent="0.25">
      <c r="A50" s="115" t="s">
        <v>2854</v>
      </c>
      <c r="B50" s="115" t="s">
        <v>2855</v>
      </c>
      <c r="C50" s="116">
        <v>75000</v>
      </c>
      <c r="D50" s="115" t="s">
        <v>1219</v>
      </c>
      <c r="E50" s="115" t="s">
        <v>1209</v>
      </c>
    </row>
    <row r="51" spans="1:6" x14ac:dyDescent="0.25">
      <c r="A51" s="115" t="s">
        <v>2856</v>
      </c>
      <c r="B51" s="115" t="s">
        <v>2857</v>
      </c>
      <c r="C51" s="116">
        <v>75000</v>
      </c>
      <c r="D51" s="115" t="s">
        <v>1046</v>
      </c>
      <c r="E51" s="115" t="s">
        <v>1047</v>
      </c>
    </row>
    <row r="52" spans="1:6" x14ac:dyDescent="0.25">
      <c r="A52" s="115" t="s">
        <v>2869</v>
      </c>
      <c r="B52" s="115" t="s">
        <v>2870</v>
      </c>
      <c r="C52" s="116">
        <v>0</v>
      </c>
      <c r="D52" s="115" t="s">
        <v>1050</v>
      </c>
      <c r="E52" s="115" t="s">
        <v>1051</v>
      </c>
    </row>
    <row r="53" spans="1:6" x14ac:dyDescent="0.25">
      <c r="A53" s="115" t="s">
        <v>2871</v>
      </c>
      <c r="B53" s="115" t="s">
        <v>2872</v>
      </c>
      <c r="C53" s="120">
        <v>0</v>
      </c>
      <c r="D53" s="115" t="s">
        <v>3563</v>
      </c>
    </row>
    <row r="54" spans="1:6" x14ac:dyDescent="0.25">
      <c r="A54" s="115" t="s">
        <v>2873</v>
      </c>
      <c r="B54" s="115" t="s">
        <v>2874</v>
      </c>
      <c r="C54" s="116">
        <v>0</v>
      </c>
      <c r="D54" s="115" t="s">
        <v>3563</v>
      </c>
    </row>
    <row r="55" spans="1:6" x14ac:dyDescent="0.25">
      <c r="A55" s="115" t="s">
        <v>2875</v>
      </c>
      <c r="B55" s="115" t="s">
        <v>2876</v>
      </c>
      <c r="C55" s="116">
        <v>0</v>
      </c>
      <c r="D55" s="115" t="s">
        <v>1206</v>
      </c>
      <c r="E55" s="115" t="s">
        <v>1207</v>
      </c>
    </row>
    <row r="56" spans="1:6" x14ac:dyDescent="0.25">
      <c r="A56" s="115" t="s">
        <v>2877</v>
      </c>
      <c r="B56" s="115" t="s">
        <v>2878</v>
      </c>
      <c r="C56" s="116">
        <v>0</v>
      </c>
      <c r="D56" s="115" t="s">
        <v>1216</v>
      </c>
      <c r="E56" s="115" t="s">
        <v>1207</v>
      </c>
    </row>
    <row r="57" spans="1:6" x14ac:dyDescent="0.25">
      <c r="A57" s="115" t="s">
        <v>2879</v>
      </c>
      <c r="B57" s="115" t="s">
        <v>2880</v>
      </c>
      <c r="C57" s="116">
        <v>0</v>
      </c>
      <c r="D57" s="115" t="s">
        <v>1069</v>
      </c>
      <c r="E57" s="115" t="s">
        <v>1070</v>
      </c>
    </row>
    <row r="58" spans="1:6" x14ac:dyDescent="0.25">
      <c r="A58" s="115" t="s">
        <v>2962</v>
      </c>
      <c r="B58" s="115" t="s">
        <v>2963</v>
      </c>
      <c r="C58" s="116">
        <v>0</v>
      </c>
      <c r="D58" s="115" t="s">
        <v>1214</v>
      </c>
      <c r="E58" s="115" t="s">
        <v>1215</v>
      </c>
      <c r="F58" s="115" t="s">
        <v>3564</v>
      </c>
    </row>
    <row r="59" spans="1:6" x14ac:dyDescent="0.25">
      <c r="A59" s="115" t="s">
        <v>2964</v>
      </c>
      <c r="B59" s="115" t="s">
        <v>2965</v>
      </c>
      <c r="C59" s="116">
        <v>0</v>
      </c>
      <c r="D59" s="115" t="s">
        <v>1692</v>
      </c>
      <c r="E59" s="115" t="s">
        <v>1693</v>
      </c>
    </row>
    <row r="60" spans="1:6" x14ac:dyDescent="0.25">
      <c r="A60" s="115" t="s">
        <v>3014</v>
      </c>
      <c r="B60" s="115" t="s">
        <v>2965</v>
      </c>
      <c r="C60" s="116">
        <v>0</v>
      </c>
      <c r="D60" s="115" t="s">
        <v>1694</v>
      </c>
      <c r="E60" s="115" t="s">
        <v>1695</v>
      </c>
    </row>
    <row r="61" spans="1:6" x14ac:dyDescent="0.25">
      <c r="A61" s="115" t="s">
        <v>3022</v>
      </c>
      <c r="B61" s="115" t="s">
        <v>3023</v>
      </c>
      <c r="C61" s="116">
        <v>700000</v>
      </c>
      <c r="D61" s="115" t="s">
        <v>1616</v>
      </c>
      <c r="E61" s="115" t="s">
        <v>1617</v>
      </c>
    </row>
    <row r="62" spans="1:6" x14ac:dyDescent="0.25">
      <c r="A62" s="323" t="s">
        <v>3024</v>
      </c>
      <c r="B62" s="321" t="s">
        <v>3025</v>
      </c>
      <c r="C62" s="116">
        <v>425000</v>
      </c>
      <c r="D62" s="115" t="s">
        <v>1439</v>
      </c>
      <c r="E62" s="115" t="s">
        <v>1440</v>
      </c>
    </row>
    <row r="63" spans="1:6" x14ac:dyDescent="0.25">
      <c r="A63" s="323"/>
      <c r="B63" s="321"/>
      <c r="C63" s="116">
        <v>425000</v>
      </c>
      <c r="D63" s="115" t="s">
        <v>1460</v>
      </c>
      <c r="E63" s="115" t="s">
        <v>1461</v>
      </c>
    </row>
    <row r="64" spans="1:6" x14ac:dyDescent="0.25">
      <c r="A64" s="115" t="s">
        <v>3026</v>
      </c>
      <c r="B64" s="115" t="s">
        <v>3027</v>
      </c>
      <c r="C64" s="116">
        <v>45000</v>
      </c>
      <c r="D64" s="115" t="s">
        <v>1805</v>
      </c>
      <c r="E64" s="115" t="s">
        <v>1806</v>
      </c>
    </row>
    <row r="65" spans="1:5" x14ac:dyDescent="0.25">
      <c r="A65" s="115" t="s">
        <v>3036</v>
      </c>
      <c r="B65" s="115" t="s">
        <v>3037</v>
      </c>
      <c r="C65" s="116">
        <v>1000000</v>
      </c>
      <c r="D65" s="115" t="s">
        <v>1637</v>
      </c>
      <c r="E65" s="115" t="s">
        <v>1638</v>
      </c>
    </row>
    <row r="66" spans="1:5" x14ac:dyDescent="0.25">
      <c r="A66" s="115" t="s">
        <v>3085</v>
      </c>
      <c r="B66" s="115" t="s">
        <v>2965</v>
      </c>
      <c r="C66" s="116">
        <v>0</v>
      </c>
      <c r="D66" s="115" t="s">
        <v>1696</v>
      </c>
      <c r="E66" s="115" t="s">
        <v>1697</v>
      </c>
    </row>
    <row r="67" spans="1:5" x14ac:dyDescent="0.25">
      <c r="A67" s="115" t="s">
        <v>3086</v>
      </c>
      <c r="B67" s="115" t="s">
        <v>3087</v>
      </c>
      <c r="C67" s="116">
        <v>0</v>
      </c>
      <c r="D67" s="115" t="s">
        <v>1052</v>
      </c>
      <c r="E67" s="115" t="s">
        <v>1053</v>
      </c>
    </row>
    <row r="68" spans="1:5" x14ac:dyDescent="0.25">
      <c r="A68" s="115" t="s">
        <v>3092</v>
      </c>
      <c r="B68" s="115" t="s">
        <v>3023</v>
      </c>
      <c r="C68" s="116">
        <v>10000</v>
      </c>
      <c r="D68" s="115" t="s">
        <v>1618</v>
      </c>
      <c r="E68" s="115" t="s">
        <v>1459</v>
      </c>
    </row>
    <row r="69" spans="1:5" x14ac:dyDescent="0.25">
      <c r="A69" s="324" t="s">
        <v>3093</v>
      </c>
      <c r="B69" s="321" t="s">
        <v>3094</v>
      </c>
      <c r="C69" s="116">
        <v>30000</v>
      </c>
      <c r="D69" s="115" t="s">
        <v>1822</v>
      </c>
      <c r="E69" s="115" t="s">
        <v>1823</v>
      </c>
    </row>
    <row r="70" spans="1:5" x14ac:dyDescent="0.25">
      <c r="A70" s="324"/>
      <c r="B70" s="321"/>
      <c r="C70" s="116">
        <v>9000</v>
      </c>
      <c r="D70" s="115" t="s">
        <v>1824</v>
      </c>
      <c r="E70" s="115" t="s">
        <v>1459</v>
      </c>
    </row>
    <row r="71" spans="1:5" x14ac:dyDescent="0.25">
      <c r="A71" s="115" t="s">
        <v>3095</v>
      </c>
      <c r="B71" s="115" t="s">
        <v>3096</v>
      </c>
      <c r="C71" s="116">
        <v>80000</v>
      </c>
      <c r="D71" s="115" t="s">
        <v>1456</v>
      </c>
      <c r="E71" s="115" t="s">
        <v>1457</v>
      </c>
    </row>
    <row r="72" spans="1:5" x14ac:dyDescent="0.25">
      <c r="A72" s="115" t="s">
        <v>3095</v>
      </c>
      <c r="B72" s="115" t="s">
        <v>3096</v>
      </c>
      <c r="C72" s="116">
        <v>10000</v>
      </c>
      <c r="D72" s="115" t="s">
        <v>1458</v>
      </c>
      <c r="E72" s="115" t="s">
        <v>1459</v>
      </c>
    </row>
    <row r="73" spans="1:5" x14ac:dyDescent="0.25">
      <c r="A73" s="115" t="s">
        <v>3097</v>
      </c>
      <c r="B73" s="115" t="s">
        <v>3098</v>
      </c>
      <c r="C73" s="116">
        <v>15000</v>
      </c>
      <c r="D73" s="115" t="s">
        <v>776</v>
      </c>
      <c r="E73" s="115" t="s">
        <v>777</v>
      </c>
    </row>
    <row r="74" spans="1:5" x14ac:dyDescent="0.25">
      <c r="A74" s="115" t="s">
        <v>3099</v>
      </c>
      <c r="B74" s="115" t="s">
        <v>3100</v>
      </c>
      <c r="C74" s="120">
        <v>0</v>
      </c>
      <c r="D74" s="115" t="s">
        <v>3563</v>
      </c>
    </row>
    <row r="75" spans="1:5" x14ac:dyDescent="0.25">
      <c r="A75" s="115" t="s">
        <v>3101</v>
      </c>
      <c r="B75" s="115" t="s">
        <v>3102</v>
      </c>
      <c r="C75" s="120">
        <v>0</v>
      </c>
      <c r="D75" s="115" t="s">
        <v>3563</v>
      </c>
    </row>
    <row r="76" spans="1:5" x14ac:dyDescent="0.25">
      <c r="A76" s="115" t="s">
        <v>3108</v>
      </c>
      <c r="B76" s="115" t="s">
        <v>3109</v>
      </c>
      <c r="C76" s="116">
        <v>0</v>
      </c>
      <c r="D76" s="115" t="s">
        <v>1454</v>
      </c>
      <c r="E76" s="115" t="s">
        <v>1455</v>
      </c>
    </row>
    <row r="77" spans="1:5" x14ac:dyDescent="0.25">
      <c r="A77" s="115" t="s">
        <v>3114</v>
      </c>
      <c r="B77" s="115" t="s">
        <v>3115</v>
      </c>
      <c r="C77" s="116">
        <v>371000</v>
      </c>
      <c r="D77" s="115" t="s">
        <v>1863</v>
      </c>
      <c r="E77" s="115" t="s">
        <v>1864</v>
      </c>
    </row>
    <row r="78" spans="1:5" x14ac:dyDescent="0.25">
      <c r="A78" s="303" t="s">
        <v>3419</v>
      </c>
      <c r="B78" s="115" t="s">
        <v>4169</v>
      </c>
      <c r="C78" s="116">
        <v>150000</v>
      </c>
      <c r="D78" s="303" t="s">
        <v>3419</v>
      </c>
      <c r="E78" s="115" t="s">
        <v>4170</v>
      </c>
    </row>
    <row r="79" spans="1:5" x14ac:dyDescent="0.25">
      <c r="A79" s="115" t="s">
        <v>3120</v>
      </c>
      <c r="B79" s="115" t="s">
        <v>3121</v>
      </c>
      <c r="C79" s="116">
        <v>0</v>
      </c>
      <c r="D79" s="115" t="s">
        <v>1217</v>
      </c>
      <c r="E79" s="115" t="s">
        <v>1218</v>
      </c>
    </row>
    <row r="80" spans="1:5" x14ac:dyDescent="0.25">
      <c r="A80" s="115" t="s">
        <v>3130</v>
      </c>
      <c r="B80" s="115" t="s">
        <v>3131</v>
      </c>
      <c r="C80" s="116">
        <v>0</v>
      </c>
      <c r="D80" s="115" t="s">
        <v>1619</v>
      </c>
      <c r="E80" s="115" t="s">
        <v>1620</v>
      </c>
    </row>
    <row r="81" spans="1:5" x14ac:dyDescent="0.25">
      <c r="A81" s="115" t="s">
        <v>3143</v>
      </c>
      <c r="B81" s="115" t="s">
        <v>3144</v>
      </c>
      <c r="C81" s="116">
        <v>0</v>
      </c>
      <c r="D81" s="115" t="s">
        <v>760</v>
      </c>
      <c r="E81" s="115" t="s">
        <v>761</v>
      </c>
    </row>
    <row r="82" spans="1:5" x14ac:dyDescent="0.25">
      <c r="A82" s="115" t="s">
        <v>3145</v>
      </c>
      <c r="B82" s="115" t="s">
        <v>3146</v>
      </c>
      <c r="C82" s="116">
        <v>0</v>
      </c>
      <c r="D82" s="115" t="s">
        <v>735</v>
      </c>
      <c r="E82" s="115" t="s">
        <v>3539</v>
      </c>
    </row>
    <row r="83" spans="1:5" x14ac:dyDescent="0.25">
      <c r="A83" s="321" t="s">
        <v>3166</v>
      </c>
      <c r="B83" s="321" t="s">
        <v>3167</v>
      </c>
      <c r="C83" s="120">
        <v>0</v>
      </c>
      <c r="D83" s="122" t="s">
        <v>715</v>
      </c>
      <c r="E83" s="122" t="s">
        <v>716</v>
      </c>
    </row>
    <row r="84" spans="1:5" x14ac:dyDescent="0.25">
      <c r="A84" s="321"/>
      <c r="B84" s="321"/>
      <c r="C84" s="120">
        <v>0</v>
      </c>
      <c r="D84" s="122" t="s">
        <v>717</v>
      </c>
      <c r="E84" s="122" t="s">
        <v>718</v>
      </c>
    </row>
    <row r="85" spans="1:5" x14ac:dyDescent="0.25">
      <c r="A85" s="321"/>
      <c r="B85" s="321"/>
      <c r="C85" s="120">
        <v>0</v>
      </c>
      <c r="D85" s="122" t="s">
        <v>719</v>
      </c>
      <c r="E85" s="122" t="s">
        <v>720</v>
      </c>
    </row>
    <row r="86" spans="1:5" x14ac:dyDescent="0.25">
      <c r="A86" s="321"/>
      <c r="B86" s="321"/>
      <c r="C86" s="120">
        <v>0</v>
      </c>
      <c r="D86" s="122" t="s">
        <v>721</v>
      </c>
      <c r="E86" s="122" t="s">
        <v>722</v>
      </c>
    </row>
    <row r="87" spans="1:5" x14ac:dyDescent="0.25">
      <c r="A87" s="321"/>
      <c r="B87" s="321"/>
      <c r="C87" s="120">
        <v>0</v>
      </c>
      <c r="D87" s="122" t="s">
        <v>723</v>
      </c>
      <c r="E87" s="122" t="s">
        <v>724</v>
      </c>
    </row>
    <row r="88" spans="1:5" x14ac:dyDescent="0.25">
      <c r="A88" s="321"/>
      <c r="B88" s="321"/>
      <c r="C88" s="120">
        <v>0</v>
      </c>
      <c r="D88" s="122" t="s">
        <v>725</v>
      </c>
      <c r="E88" s="122" t="s">
        <v>726</v>
      </c>
    </row>
    <row r="89" spans="1:5" x14ac:dyDescent="0.25">
      <c r="A89" s="321"/>
      <c r="B89" s="321"/>
      <c r="C89" s="120">
        <v>0</v>
      </c>
      <c r="D89" s="122" t="s">
        <v>727</v>
      </c>
      <c r="E89" s="122" t="s">
        <v>728</v>
      </c>
    </row>
    <row r="90" spans="1:5" x14ac:dyDescent="0.25">
      <c r="A90" s="321"/>
      <c r="B90" s="321"/>
      <c r="C90" s="120">
        <v>0</v>
      </c>
      <c r="D90" s="122" t="s">
        <v>729</v>
      </c>
      <c r="E90" s="122" t="s">
        <v>730</v>
      </c>
    </row>
    <row r="91" spans="1:5" x14ac:dyDescent="0.25">
      <c r="A91" s="321"/>
      <c r="B91" s="321"/>
      <c r="C91" s="116">
        <v>40000</v>
      </c>
      <c r="D91" s="115" t="s">
        <v>731</v>
      </c>
      <c r="E91" s="115" t="s">
        <v>732</v>
      </c>
    </row>
    <row r="92" spans="1:5" x14ac:dyDescent="0.25">
      <c r="A92" s="321"/>
      <c r="B92" s="321"/>
      <c r="C92" s="116">
        <v>40000</v>
      </c>
      <c r="D92" s="115" t="s">
        <v>733</v>
      </c>
      <c r="E92" s="115" t="s">
        <v>734</v>
      </c>
    </row>
    <row r="93" spans="1:5" x14ac:dyDescent="0.25">
      <c r="A93" s="321"/>
      <c r="B93" s="321"/>
      <c r="C93" s="121">
        <v>55000</v>
      </c>
      <c r="D93" s="115" t="s">
        <v>3570</v>
      </c>
      <c r="E93" s="115" t="s">
        <v>3571</v>
      </c>
    </row>
    <row r="94" spans="1:5" x14ac:dyDescent="0.25">
      <c r="A94" s="321"/>
      <c r="B94" s="321"/>
      <c r="C94" s="121">
        <f>'Vehicle '!$L$83</f>
        <v>10000</v>
      </c>
      <c r="D94" s="115" t="s">
        <v>3570</v>
      </c>
      <c r="E94" s="115" t="s">
        <v>3572</v>
      </c>
    </row>
    <row r="95" spans="1:5" x14ac:dyDescent="0.25">
      <c r="A95" s="321"/>
      <c r="B95" s="321"/>
      <c r="C95" s="121">
        <f>'Vehicle '!$L$86</f>
        <v>30000</v>
      </c>
      <c r="D95" s="115" t="s">
        <v>3570</v>
      </c>
      <c r="E95" s="115" t="s">
        <v>3573</v>
      </c>
    </row>
    <row r="96" spans="1:5" x14ac:dyDescent="0.25">
      <c r="A96" s="321"/>
      <c r="B96" s="321"/>
      <c r="C96" s="121">
        <f>'Vehicle '!$L$92</f>
        <v>25000</v>
      </c>
      <c r="D96" s="115" t="s">
        <v>3570</v>
      </c>
      <c r="E96" s="115" t="s">
        <v>3574</v>
      </c>
    </row>
    <row r="97" spans="1:5" x14ac:dyDescent="0.25">
      <c r="A97" s="321"/>
      <c r="B97" s="321"/>
      <c r="C97" s="121">
        <f>'Vehicle '!$L$115</f>
        <v>10000</v>
      </c>
      <c r="D97" s="115" t="s">
        <v>3570</v>
      </c>
      <c r="E97" s="115" t="s">
        <v>3575</v>
      </c>
    </row>
    <row r="98" spans="1:5" x14ac:dyDescent="0.25">
      <c r="A98" s="321" t="s">
        <v>3168</v>
      </c>
      <c r="B98" s="321" t="s">
        <v>3592</v>
      </c>
      <c r="C98" s="120">
        <v>0</v>
      </c>
      <c r="D98" s="122" t="s">
        <v>1006</v>
      </c>
      <c r="E98" s="122" t="s">
        <v>1007</v>
      </c>
    </row>
    <row r="99" spans="1:5" x14ac:dyDescent="0.25">
      <c r="A99" s="321"/>
      <c r="B99" s="321"/>
      <c r="C99" s="120">
        <v>0</v>
      </c>
      <c r="D99" s="122" t="s">
        <v>1008</v>
      </c>
      <c r="E99" s="122" t="s">
        <v>1009</v>
      </c>
    </row>
    <row r="100" spans="1:5" x14ac:dyDescent="0.25">
      <c r="A100" s="321"/>
      <c r="B100" s="321"/>
      <c r="C100" s="120">
        <v>0</v>
      </c>
      <c r="D100" s="122" t="s">
        <v>1010</v>
      </c>
      <c r="E100" s="122" t="s">
        <v>1011</v>
      </c>
    </row>
    <row r="101" spans="1:5" x14ac:dyDescent="0.25">
      <c r="A101" s="321"/>
      <c r="B101" s="321"/>
      <c r="C101" s="120">
        <v>0</v>
      </c>
      <c r="D101" s="122" t="s">
        <v>1012</v>
      </c>
      <c r="E101" s="122" t="s">
        <v>1013</v>
      </c>
    </row>
    <row r="102" spans="1:5" x14ac:dyDescent="0.25">
      <c r="A102" s="321"/>
      <c r="B102" s="321"/>
      <c r="C102" s="120">
        <v>0</v>
      </c>
      <c r="D102" s="122" t="s">
        <v>1014</v>
      </c>
      <c r="E102" s="122" t="s">
        <v>1015</v>
      </c>
    </row>
    <row r="103" spans="1:5" x14ac:dyDescent="0.25">
      <c r="A103" s="321"/>
      <c r="B103" s="321"/>
      <c r="C103" s="120">
        <v>0</v>
      </c>
      <c r="D103" s="122" t="s">
        <v>1016</v>
      </c>
      <c r="E103" s="122" t="s">
        <v>1017</v>
      </c>
    </row>
    <row r="104" spans="1:5" x14ac:dyDescent="0.25">
      <c r="A104" s="321"/>
      <c r="B104" s="321"/>
      <c r="C104" s="120">
        <v>0</v>
      </c>
      <c r="D104" s="122" t="s">
        <v>1018</v>
      </c>
      <c r="E104" s="122" t="s">
        <v>1019</v>
      </c>
    </row>
    <row r="105" spans="1:5" x14ac:dyDescent="0.25">
      <c r="A105" s="321"/>
      <c r="B105" s="321"/>
      <c r="C105" s="120">
        <v>0</v>
      </c>
      <c r="D105" s="122" t="s">
        <v>1020</v>
      </c>
      <c r="E105" s="122" t="s">
        <v>1021</v>
      </c>
    </row>
    <row r="106" spans="1:5" x14ac:dyDescent="0.25">
      <c r="A106" s="321"/>
      <c r="B106" s="321"/>
      <c r="C106" s="116">
        <v>20000</v>
      </c>
      <c r="D106" s="115" t="s">
        <v>1022</v>
      </c>
      <c r="E106" s="115" t="s">
        <v>1023</v>
      </c>
    </row>
    <row r="107" spans="1:5" x14ac:dyDescent="0.25">
      <c r="A107" s="321"/>
      <c r="B107" s="321"/>
      <c r="C107" s="116">
        <v>22500</v>
      </c>
      <c r="D107" s="115" t="s">
        <v>1024</v>
      </c>
      <c r="E107" s="115" t="s">
        <v>1025</v>
      </c>
    </row>
    <row r="108" spans="1:5" x14ac:dyDescent="0.25">
      <c r="A108" s="321"/>
      <c r="B108" s="321"/>
      <c r="C108" s="116">
        <v>10000</v>
      </c>
      <c r="D108" s="115" t="s">
        <v>1026</v>
      </c>
      <c r="E108" s="115" t="s">
        <v>1027</v>
      </c>
    </row>
    <row r="109" spans="1:5" x14ac:dyDescent="0.25">
      <c r="A109" s="321"/>
      <c r="B109" s="321"/>
      <c r="C109" s="116">
        <v>10000</v>
      </c>
      <c r="D109" s="115" t="s">
        <v>1028</v>
      </c>
      <c r="E109" s="115" t="s">
        <v>1029</v>
      </c>
    </row>
    <row r="110" spans="1:5" x14ac:dyDescent="0.25">
      <c r="A110" s="321"/>
      <c r="B110" s="321"/>
      <c r="C110" s="116">
        <v>5000</v>
      </c>
      <c r="D110" s="115" t="s">
        <v>1030</v>
      </c>
      <c r="E110" s="115" t="s">
        <v>1031</v>
      </c>
    </row>
    <row r="111" spans="1:5" x14ac:dyDescent="0.25">
      <c r="A111" s="321"/>
      <c r="B111" s="321"/>
      <c r="C111" s="116">
        <v>0</v>
      </c>
      <c r="D111" s="115" t="s">
        <v>1032</v>
      </c>
      <c r="E111" s="115" t="s">
        <v>1033</v>
      </c>
    </row>
    <row r="112" spans="1:5" x14ac:dyDescent="0.25">
      <c r="A112" s="321"/>
      <c r="B112" s="321"/>
      <c r="C112" s="116">
        <v>2500</v>
      </c>
      <c r="D112" s="115" t="s">
        <v>1034</v>
      </c>
      <c r="E112" s="115" t="s">
        <v>1035</v>
      </c>
    </row>
    <row r="113" spans="1:5" x14ac:dyDescent="0.25">
      <c r="A113" s="321"/>
      <c r="B113" s="321"/>
      <c r="C113" s="116">
        <v>1750</v>
      </c>
      <c r="D113" s="115" t="s">
        <v>1036</v>
      </c>
      <c r="E113" s="115" t="s">
        <v>1037</v>
      </c>
    </row>
    <row r="114" spans="1:5" x14ac:dyDescent="0.25">
      <c r="A114" s="321"/>
      <c r="B114" s="321"/>
      <c r="C114" s="121">
        <f>'Vehicle '!$L$8*'Vehicle '!$H$8</f>
        <v>62500</v>
      </c>
      <c r="D114" s="115" t="s">
        <v>3570</v>
      </c>
      <c r="E114" s="115" t="s">
        <v>3581</v>
      </c>
    </row>
    <row r="115" spans="1:5" x14ac:dyDescent="0.25">
      <c r="A115" s="321"/>
      <c r="B115" s="321"/>
      <c r="C115" s="121">
        <f>'Vehicle '!$L$17*'Vehicle '!$H$17</f>
        <v>18750</v>
      </c>
      <c r="D115" s="115" t="s">
        <v>3570</v>
      </c>
      <c r="E115" s="115" t="s">
        <v>3582</v>
      </c>
    </row>
    <row r="116" spans="1:5" x14ac:dyDescent="0.25">
      <c r="A116" s="321"/>
      <c r="B116" s="321"/>
      <c r="C116" s="121">
        <f>'Vehicle '!$L$21*'Vehicle '!$H$21</f>
        <v>11250</v>
      </c>
      <c r="D116" s="115" t="s">
        <v>3570</v>
      </c>
      <c r="E116" s="115" t="s">
        <v>3583</v>
      </c>
    </row>
    <row r="117" spans="1:5" x14ac:dyDescent="0.25">
      <c r="A117" s="321"/>
      <c r="B117" s="321"/>
      <c r="C117" s="121">
        <f>'Vehicle '!$L$64*'Vehicle '!$H$64</f>
        <v>12500</v>
      </c>
      <c r="D117" s="115" t="s">
        <v>3570</v>
      </c>
      <c r="E117" s="115" t="s">
        <v>3584</v>
      </c>
    </row>
    <row r="118" spans="1:5" x14ac:dyDescent="0.25">
      <c r="A118" s="321" t="s">
        <v>3170</v>
      </c>
      <c r="B118" s="321" t="s">
        <v>3591</v>
      </c>
      <c r="C118" s="116">
        <v>20000</v>
      </c>
      <c r="D118" s="115" t="s">
        <v>1441</v>
      </c>
      <c r="E118" s="115" t="s">
        <v>1023</v>
      </c>
    </row>
    <row r="119" spans="1:5" x14ac:dyDescent="0.25">
      <c r="A119" s="321"/>
      <c r="B119" s="321"/>
      <c r="C119" s="116">
        <v>10000</v>
      </c>
      <c r="D119" s="115" t="s">
        <v>1442</v>
      </c>
      <c r="E119" s="115" t="s">
        <v>1027</v>
      </c>
    </row>
    <row r="120" spans="1:5" x14ac:dyDescent="0.25">
      <c r="A120" s="321"/>
      <c r="B120" s="321"/>
      <c r="C120" s="116">
        <v>20000</v>
      </c>
      <c r="D120" s="115" t="s">
        <v>1443</v>
      </c>
      <c r="E120" s="115" t="s">
        <v>1029</v>
      </c>
    </row>
    <row r="121" spans="1:5" x14ac:dyDescent="0.25">
      <c r="A121" s="321"/>
      <c r="B121" s="321"/>
      <c r="C121" s="116">
        <v>12500</v>
      </c>
      <c r="D121" s="115" t="s">
        <v>1444</v>
      </c>
      <c r="E121" s="115" t="s">
        <v>1031</v>
      </c>
    </row>
    <row r="122" spans="1:5" x14ac:dyDescent="0.25">
      <c r="A122" s="321"/>
      <c r="B122" s="321"/>
      <c r="C122" s="116">
        <v>0</v>
      </c>
      <c r="D122" s="115" t="s">
        <v>1445</v>
      </c>
      <c r="E122" s="115" t="s">
        <v>1033</v>
      </c>
    </row>
    <row r="123" spans="1:5" x14ac:dyDescent="0.25">
      <c r="A123" s="321"/>
      <c r="B123" s="321"/>
      <c r="C123" s="116">
        <v>2500</v>
      </c>
      <c r="D123" s="115" t="s">
        <v>1446</v>
      </c>
      <c r="E123" s="115" t="s">
        <v>1035</v>
      </c>
    </row>
    <row r="124" spans="1:5" x14ac:dyDescent="0.25">
      <c r="A124" s="321"/>
      <c r="B124" s="321"/>
      <c r="C124" s="116">
        <v>1750</v>
      </c>
      <c r="D124" s="115" t="s">
        <v>1447</v>
      </c>
      <c r="E124" s="115" t="s">
        <v>1037</v>
      </c>
    </row>
    <row r="125" spans="1:5" x14ac:dyDescent="0.25">
      <c r="A125" s="321"/>
      <c r="B125" s="321"/>
      <c r="C125" s="120">
        <v>0</v>
      </c>
      <c r="D125" s="122" t="s">
        <v>1448</v>
      </c>
      <c r="E125" s="122" t="s">
        <v>1007</v>
      </c>
    </row>
    <row r="126" spans="1:5" x14ac:dyDescent="0.25">
      <c r="A126" s="321"/>
      <c r="B126" s="321"/>
      <c r="C126" s="120">
        <v>0</v>
      </c>
      <c r="D126" s="122" t="s">
        <v>1449</v>
      </c>
      <c r="E126" s="122" t="s">
        <v>1009</v>
      </c>
    </row>
    <row r="127" spans="1:5" x14ac:dyDescent="0.25">
      <c r="A127" s="321"/>
      <c r="B127" s="321"/>
      <c r="C127" s="120">
        <v>0</v>
      </c>
      <c r="D127" s="122" t="s">
        <v>1450</v>
      </c>
      <c r="E127" s="122" t="s">
        <v>1011</v>
      </c>
    </row>
    <row r="128" spans="1:5" x14ac:dyDescent="0.25">
      <c r="A128" s="321"/>
      <c r="B128" s="321"/>
      <c r="C128" s="120">
        <v>0</v>
      </c>
      <c r="D128" s="122" t="s">
        <v>1451</v>
      </c>
      <c r="E128" s="122" t="s">
        <v>1013</v>
      </c>
    </row>
    <row r="129" spans="1:5" x14ac:dyDescent="0.25">
      <c r="A129" s="321"/>
      <c r="B129" s="321"/>
      <c r="C129" s="120">
        <v>0</v>
      </c>
      <c r="D129" s="122" t="s">
        <v>1452</v>
      </c>
      <c r="E129" s="122" t="s">
        <v>1015</v>
      </c>
    </row>
    <row r="130" spans="1:5" x14ac:dyDescent="0.25">
      <c r="A130" s="321"/>
      <c r="B130" s="321"/>
      <c r="C130" s="120">
        <v>0</v>
      </c>
      <c r="D130" s="122" t="s">
        <v>1453</v>
      </c>
      <c r="E130" s="122" t="s">
        <v>1017</v>
      </c>
    </row>
    <row r="131" spans="1:5" x14ac:dyDescent="0.25">
      <c r="A131" s="321"/>
      <c r="B131" s="321"/>
      <c r="C131" s="121">
        <f>'Vehicle '!$L$8*'Vehicle '!$E$8</f>
        <v>62500</v>
      </c>
      <c r="D131" s="115" t="s">
        <v>3570</v>
      </c>
      <c r="E131" s="115" t="s">
        <v>3581</v>
      </c>
    </row>
    <row r="132" spans="1:5" x14ac:dyDescent="0.25">
      <c r="A132" s="321"/>
      <c r="B132" s="321"/>
      <c r="C132" s="121">
        <f>'Vehicle '!$L$17*'Vehicle '!$E$17</f>
        <v>93750</v>
      </c>
      <c r="D132" s="115" t="s">
        <v>3570</v>
      </c>
      <c r="E132" s="115" t="s">
        <v>3582</v>
      </c>
    </row>
    <row r="133" spans="1:5" x14ac:dyDescent="0.25">
      <c r="A133" s="321"/>
      <c r="B133" s="321"/>
      <c r="C133" s="121">
        <f>'Vehicle '!$L$21*'Vehicle '!$E$21</f>
        <v>22500</v>
      </c>
      <c r="D133" s="115" t="s">
        <v>3570</v>
      </c>
      <c r="E133" s="115" t="s">
        <v>3583</v>
      </c>
    </row>
    <row r="134" spans="1:5" x14ac:dyDescent="0.25">
      <c r="A134" s="321"/>
      <c r="B134" s="321"/>
      <c r="C134" s="121">
        <f>'Vehicle '!$L$64*'Vehicle '!$E$64</f>
        <v>12500</v>
      </c>
      <c r="D134" s="115" t="s">
        <v>3570</v>
      </c>
      <c r="E134" s="115" t="s">
        <v>3584</v>
      </c>
    </row>
    <row r="135" spans="1:5" x14ac:dyDescent="0.25">
      <c r="A135" s="321" t="s">
        <v>3172</v>
      </c>
      <c r="B135" s="321" t="s">
        <v>3590</v>
      </c>
      <c r="C135" s="116">
        <v>67500</v>
      </c>
      <c r="D135" s="115" t="s">
        <v>1621</v>
      </c>
      <c r="E135" s="115" t="s">
        <v>1025</v>
      </c>
    </row>
    <row r="136" spans="1:5" x14ac:dyDescent="0.25">
      <c r="A136" s="321"/>
      <c r="B136" s="321"/>
      <c r="C136" s="116">
        <v>10000</v>
      </c>
      <c r="D136" s="115" t="s">
        <v>1622</v>
      </c>
      <c r="E136" s="115" t="s">
        <v>1027</v>
      </c>
    </row>
    <row r="137" spans="1:5" x14ac:dyDescent="0.25">
      <c r="A137" s="321"/>
      <c r="B137" s="321"/>
      <c r="C137" s="116">
        <v>10000</v>
      </c>
      <c r="D137" s="115" t="s">
        <v>1623</v>
      </c>
      <c r="E137" s="115" t="s">
        <v>1029</v>
      </c>
    </row>
    <row r="138" spans="1:5" x14ac:dyDescent="0.25">
      <c r="A138" s="321"/>
      <c r="B138" s="321"/>
      <c r="C138" s="116">
        <v>2500</v>
      </c>
      <c r="D138" s="115" t="s">
        <v>1624</v>
      </c>
      <c r="E138" s="115" t="s">
        <v>1031</v>
      </c>
    </row>
    <row r="139" spans="1:5" x14ac:dyDescent="0.25">
      <c r="A139" s="321"/>
      <c r="B139" s="321"/>
      <c r="C139" s="116">
        <v>2500</v>
      </c>
      <c r="D139" s="115" t="s">
        <v>1625</v>
      </c>
      <c r="E139" s="115" t="s">
        <v>1035</v>
      </c>
    </row>
    <row r="140" spans="1:5" x14ac:dyDescent="0.25">
      <c r="A140" s="321"/>
      <c r="B140" s="321"/>
      <c r="C140" s="116">
        <v>1750</v>
      </c>
      <c r="D140" s="115" t="s">
        <v>1626</v>
      </c>
      <c r="E140" s="115" t="s">
        <v>1037</v>
      </c>
    </row>
    <row r="141" spans="1:5" x14ac:dyDescent="0.25">
      <c r="A141" s="321"/>
      <c r="B141" s="321"/>
      <c r="C141" s="116">
        <v>0</v>
      </c>
      <c r="D141" s="115" t="s">
        <v>1627</v>
      </c>
      <c r="E141" s="115" t="s">
        <v>1628</v>
      </c>
    </row>
    <row r="142" spans="1:5" x14ac:dyDescent="0.25">
      <c r="A142" s="321"/>
      <c r="B142" s="321"/>
      <c r="C142" s="120">
        <v>0</v>
      </c>
      <c r="D142" s="122" t="s">
        <v>1629</v>
      </c>
      <c r="E142" s="122" t="s">
        <v>1007</v>
      </c>
    </row>
    <row r="143" spans="1:5" x14ac:dyDescent="0.25">
      <c r="A143" s="321"/>
      <c r="B143" s="321"/>
      <c r="C143" s="120">
        <v>0</v>
      </c>
      <c r="D143" s="122" t="s">
        <v>1630</v>
      </c>
      <c r="E143" s="122" t="s">
        <v>1009</v>
      </c>
    </row>
    <row r="144" spans="1:5" x14ac:dyDescent="0.25">
      <c r="A144" s="321"/>
      <c r="B144" s="321"/>
      <c r="C144" s="120">
        <v>0</v>
      </c>
      <c r="D144" s="122" t="s">
        <v>1631</v>
      </c>
      <c r="E144" s="122" t="s">
        <v>1632</v>
      </c>
    </row>
    <row r="145" spans="1:5" x14ac:dyDescent="0.25">
      <c r="A145" s="321"/>
      <c r="B145" s="321"/>
      <c r="C145" s="120">
        <v>0</v>
      </c>
      <c r="D145" s="122" t="s">
        <v>1633</v>
      </c>
      <c r="E145" s="122" t="s">
        <v>1013</v>
      </c>
    </row>
    <row r="146" spans="1:5" x14ac:dyDescent="0.25">
      <c r="A146" s="321"/>
      <c r="B146" s="321"/>
      <c r="C146" s="120">
        <v>0</v>
      </c>
      <c r="D146" s="122" t="s">
        <v>1634</v>
      </c>
      <c r="E146" s="122" t="s">
        <v>1015</v>
      </c>
    </row>
    <row r="147" spans="1:5" x14ac:dyDescent="0.25">
      <c r="A147" s="321"/>
      <c r="B147" s="321"/>
      <c r="C147" s="120">
        <v>0</v>
      </c>
      <c r="D147" s="122" t="s">
        <v>1635</v>
      </c>
      <c r="E147" s="122" t="s">
        <v>1636</v>
      </c>
    </row>
    <row r="148" spans="1:5" x14ac:dyDescent="0.25">
      <c r="A148" s="321"/>
      <c r="B148" s="321"/>
      <c r="C148" s="121">
        <f>'Vehicle '!$L$8*'Vehicle '!$F$8</f>
        <v>62500</v>
      </c>
      <c r="D148" s="115" t="s">
        <v>3570</v>
      </c>
      <c r="E148" s="115" t="s">
        <v>3581</v>
      </c>
    </row>
    <row r="149" spans="1:5" x14ac:dyDescent="0.25">
      <c r="A149" s="321"/>
      <c r="B149" s="321"/>
      <c r="C149" s="121">
        <f>'Vehicle '!$L$17*'Vehicle '!$F$17</f>
        <v>12500</v>
      </c>
      <c r="D149" s="115" t="s">
        <v>3570</v>
      </c>
      <c r="E149" s="115" t="s">
        <v>3582</v>
      </c>
    </row>
    <row r="150" spans="1:5" x14ac:dyDescent="0.25">
      <c r="A150" s="321"/>
      <c r="B150" s="321"/>
      <c r="C150" s="121">
        <f>'Vehicle '!$L$21*'Vehicle '!$F$21</f>
        <v>11250</v>
      </c>
      <c r="D150" s="115" t="s">
        <v>3570</v>
      </c>
      <c r="E150" s="115" t="s">
        <v>3583</v>
      </c>
    </row>
    <row r="151" spans="1:5" x14ac:dyDescent="0.25">
      <c r="A151" s="321"/>
      <c r="B151" s="321"/>
      <c r="C151" s="121">
        <f>'Vehicle '!$L$64*'Vehicle '!$F$64</f>
        <v>12500</v>
      </c>
      <c r="D151" s="115" t="s">
        <v>3570</v>
      </c>
      <c r="E151" s="115" t="s">
        <v>3584</v>
      </c>
    </row>
    <row r="152" spans="1:5" x14ac:dyDescent="0.25">
      <c r="A152" s="321" t="s">
        <v>3174</v>
      </c>
      <c r="B152" s="321" t="s">
        <v>3589</v>
      </c>
      <c r="C152" s="116">
        <v>10000</v>
      </c>
      <c r="D152" s="115" t="s">
        <v>1807</v>
      </c>
      <c r="E152" s="115" t="s">
        <v>1808</v>
      </c>
    </row>
    <row r="153" spans="1:5" x14ac:dyDescent="0.25">
      <c r="A153" s="321"/>
      <c r="B153" s="321"/>
      <c r="C153" s="116">
        <v>40000</v>
      </c>
      <c r="D153" s="115" t="s">
        <v>1809</v>
      </c>
      <c r="E153" s="115" t="s">
        <v>1810</v>
      </c>
    </row>
    <row r="154" spans="1:5" x14ac:dyDescent="0.25">
      <c r="A154" s="321"/>
      <c r="B154" s="321"/>
      <c r="C154" s="116">
        <v>5000</v>
      </c>
      <c r="D154" s="115" t="s">
        <v>1811</v>
      </c>
      <c r="E154" s="115" t="s">
        <v>1031</v>
      </c>
    </row>
    <row r="155" spans="1:5" x14ac:dyDescent="0.25">
      <c r="A155" s="321"/>
      <c r="B155" s="321"/>
      <c r="C155" s="116">
        <v>0</v>
      </c>
      <c r="D155" s="115" t="s">
        <v>1812</v>
      </c>
      <c r="E155" s="115" t="s">
        <v>1033</v>
      </c>
    </row>
    <row r="156" spans="1:5" x14ac:dyDescent="0.25">
      <c r="A156" s="321"/>
      <c r="B156" s="321"/>
      <c r="C156" s="116">
        <v>17500</v>
      </c>
      <c r="D156" s="115" t="s">
        <v>1813</v>
      </c>
      <c r="E156" s="115" t="s">
        <v>1035</v>
      </c>
    </row>
    <row r="157" spans="1:5" x14ac:dyDescent="0.25">
      <c r="A157" s="321"/>
      <c r="B157" s="321"/>
      <c r="C157" s="116">
        <v>1750</v>
      </c>
      <c r="D157" s="115" t="s">
        <v>1814</v>
      </c>
      <c r="E157" s="115" t="s">
        <v>1037</v>
      </c>
    </row>
    <row r="158" spans="1:5" x14ac:dyDescent="0.25">
      <c r="A158" s="321"/>
      <c r="B158" s="321"/>
      <c r="C158" s="120">
        <v>0</v>
      </c>
      <c r="D158" s="122" t="s">
        <v>1815</v>
      </c>
      <c r="E158" s="122" t="s">
        <v>1009</v>
      </c>
    </row>
    <row r="159" spans="1:5" x14ac:dyDescent="0.25">
      <c r="A159" s="321"/>
      <c r="B159" s="321"/>
      <c r="C159" s="120">
        <v>0</v>
      </c>
      <c r="D159" s="122" t="s">
        <v>1816</v>
      </c>
      <c r="E159" s="122" t="s">
        <v>1015</v>
      </c>
    </row>
    <row r="160" spans="1:5" x14ac:dyDescent="0.25">
      <c r="A160" s="321"/>
      <c r="B160" s="321"/>
      <c r="C160" s="120">
        <v>0</v>
      </c>
      <c r="D160" s="122" t="s">
        <v>1817</v>
      </c>
      <c r="E160" s="122" t="s">
        <v>1636</v>
      </c>
    </row>
    <row r="161" spans="1:5" x14ac:dyDescent="0.25">
      <c r="A161" s="321"/>
      <c r="B161" s="321"/>
      <c r="C161" s="120">
        <v>0</v>
      </c>
      <c r="D161" s="122" t="s">
        <v>1818</v>
      </c>
      <c r="E161" s="122" t="s">
        <v>1019</v>
      </c>
    </row>
    <row r="162" spans="1:5" x14ac:dyDescent="0.25">
      <c r="A162" s="321"/>
      <c r="B162" s="321"/>
      <c r="C162" s="120">
        <v>0</v>
      </c>
      <c r="D162" s="122" t="s">
        <v>1819</v>
      </c>
      <c r="E162" s="122" t="s">
        <v>1021</v>
      </c>
    </row>
    <row r="163" spans="1:5" x14ac:dyDescent="0.25">
      <c r="A163" s="321"/>
      <c r="B163" s="321"/>
      <c r="C163" s="121">
        <f>'Vehicle '!$L$8*'Vehicle '!$G$8</f>
        <v>62500</v>
      </c>
      <c r="D163" s="115" t="s">
        <v>3570</v>
      </c>
      <c r="E163" s="115" t="s">
        <v>3581</v>
      </c>
    </row>
    <row r="164" spans="1:5" x14ac:dyDescent="0.25">
      <c r="A164" s="321"/>
      <c r="B164" s="321"/>
      <c r="C164" s="121">
        <f>'Vehicle '!$L$64*'Vehicle '!$G$64</f>
        <v>12500</v>
      </c>
      <c r="D164" s="115" t="s">
        <v>3570</v>
      </c>
      <c r="E164" s="115" t="s">
        <v>3584</v>
      </c>
    </row>
    <row r="165" spans="1:5" x14ac:dyDescent="0.25">
      <c r="A165" s="115" t="s">
        <v>3176</v>
      </c>
      <c r="B165" s="115" t="s">
        <v>3177</v>
      </c>
      <c r="C165" s="116">
        <v>0</v>
      </c>
      <c r="D165" s="115" t="s">
        <v>1075</v>
      </c>
      <c r="E165" s="115" t="s">
        <v>1076</v>
      </c>
    </row>
    <row r="166" spans="1:5" x14ac:dyDescent="0.25">
      <c r="A166" s="115" t="s">
        <v>3178</v>
      </c>
      <c r="B166" s="115" t="s">
        <v>3179</v>
      </c>
      <c r="C166" s="116">
        <v>0</v>
      </c>
      <c r="D166" s="115" t="s">
        <v>780</v>
      </c>
      <c r="E166" s="115" t="s">
        <v>781</v>
      </c>
    </row>
    <row r="167" spans="1:5" x14ac:dyDescent="0.25">
      <c r="B167" s="115" t="s">
        <v>3563</v>
      </c>
      <c r="C167" s="120">
        <v>0</v>
      </c>
      <c r="D167" s="115" t="s">
        <v>1143</v>
      </c>
      <c r="E167" s="115" t="s">
        <v>1144</v>
      </c>
    </row>
    <row r="168" spans="1:5" x14ac:dyDescent="0.25">
      <c r="B168" s="115" t="s">
        <v>3563</v>
      </c>
      <c r="C168" s="120">
        <v>0</v>
      </c>
      <c r="D168" s="115" t="s">
        <v>1054</v>
      </c>
      <c r="E168" s="115" t="s">
        <v>1055</v>
      </c>
    </row>
    <row r="169" spans="1:5" x14ac:dyDescent="0.25">
      <c r="B169" s="115" t="s">
        <v>3563</v>
      </c>
      <c r="C169" s="120">
        <v>0</v>
      </c>
      <c r="D169" s="115" t="s">
        <v>1056</v>
      </c>
      <c r="E169" s="115" t="s">
        <v>1057</v>
      </c>
    </row>
    <row r="170" spans="1:5" x14ac:dyDescent="0.25">
      <c r="B170" s="115" t="s">
        <v>3563</v>
      </c>
      <c r="C170" s="120">
        <v>0</v>
      </c>
      <c r="D170" s="115" t="s">
        <v>1820</v>
      </c>
      <c r="E170" s="115" t="s">
        <v>1821</v>
      </c>
    </row>
  </sheetData>
  <mergeCells count="18">
    <mergeCell ref="A152:A164"/>
    <mergeCell ref="B152:B164"/>
    <mergeCell ref="A118:A134"/>
    <mergeCell ref="B118:B134"/>
    <mergeCell ref="A135:A151"/>
    <mergeCell ref="B135:B151"/>
    <mergeCell ref="B69:B70"/>
    <mergeCell ref="A69:A70"/>
    <mergeCell ref="A83:A97"/>
    <mergeCell ref="B83:B97"/>
    <mergeCell ref="A98:A117"/>
    <mergeCell ref="B98:B117"/>
    <mergeCell ref="A4:B4"/>
    <mergeCell ref="D4:E4"/>
    <mergeCell ref="D6:D7"/>
    <mergeCell ref="E6:E7"/>
    <mergeCell ref="A62:A63"/>
    <mergeCell ref="B62:B6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9F413-ECB4-42C0-86FA-F97C4C669014}">
  <dimension ref="A1"/>
  <sheetViews>
    <sheetView tabSelected="1" zoomScaleNormal="100" workbookViewId="0"/>
  </sheetViews>
  <sheetFormatPr defaultRowHeight="15" x14ac:dyDescent="0.25"/>
  <cols>
    <col min="1" max="16384" width="9.140625" style="92"/>
  </cols>
  <sheetData/>
  <sheetProtection algorithmName="SHA-512" hashValue="rEhg/EC/x6QI263ii0j5byK0JduPlnC5QSC6b5HbB17fYdqAeLQZppMtEXrq9gOcyDDw51HbDrfWe4n/UdUFfA==" saltValue="D+/2bisMRUXK64wUVR+pIg==" spinCount="100000" sheet="1" objects="1" scenarios="1"/>
  <pageMargins left="0.7" right="0.7" top="0.75" bottom="0.75" header="0.3" footer="0.3"/>
  <pageSetup scale="2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3EA50-E838-442C-9988-36546456022E}">
  <dimension ref="A1:CT109"/>
  <sheetViews>
    <sheetView zoomScaleNormal="100" workbookViewId="0">
      <selection activeCell="A2" sqref="A2"/>
    </sheetView>
  </sheetViews>
  <sheetFormatPr defaultRowHeight="15" x14ac:dyDescent="0.25"/>
  <cols>
    <col min="1" max="1" width="9.140625" style="92"/>
    <col min="2" max="2" width="19.7109375" style="92" customWidth="1"/>
    <col min="3" max="3" width="22.7109375" style="92" customWidth="1"/>
    <col min="4" max="5" width="4.7109375" style="92" customWidth="1"/>
    <col min="6" max="7" width="22.7109375" style="92" customWidth="1"/>
    <col min="8" max="9" width="4.7109375" style="92" customWidth="1"/>
    <col min="10" max="18" width="9.140625" style="92"/>
    <col min="19" max="38" width="9.140625" style="92" customWidth="1"/>
    <col min="39" max="39" width="9.140625" style="92"/>
    <col min="40" max="40" width="16.42578125" style="92" bestFit="1" customWidth="1"/>
    <col min="41" max="41" width="16.42578125" style="92" customWidth="1"/>
    <col min="42" max="42" width="14.28515625" style="271" bestFit="1" customWidth="1"/>
    <col min="43" max="48" width="9.140625" style="92"/>
    <col min="49" max="49" width="14.28515625" style="92" bestFit="1" customWidth="1"/>
    <col min="50" max="50" width="14.28515625" style="92" customWidth="1"/>
    <col min="51" max="51" width="33.140625" style="92" bestFit="1" customWidth="1"/>
    <col min="52" max="52" width="15" style="271" customWidth="1"/>
    <col min="53" max="53" width="11.5703125" style="92" customWidth="1"/>
    <col min="54" max="54" width="14.28515625" style="271" customWidth="1"/>
    <col min="55" max="55" width="11.5703125" style="92" customWidth="1"/>
    <col min="56" max="56" width="13.28515625" style="92" customWidth="1"/>
    <col min="57" max="57" width="10.5703125" style="92" customWidth="1"/>
    <col min="58" max="58" width="13.28515625" style="92" customWidth="1"/>
    <col min="59" max="60" width="11.5703125" style="92" customWidth="1"/>
    <col min="61" max="61" width="10.5703125" style="92" customWidth="1"/>
    <col min="62" max="63" width="11.5703125" style="92" customWidth="1"/>
    <col min="64" max="64" width="9.140625" style="92" customWidth="1"/>
    <col min="65" max="65" width="13.28515625" style="92" customWidth="1"/>
    <col min="66" max="66" width="10.5703125" style="92" customWidth="1"/>
    <col min="67" max="67" width="11.5703125" style="92" customWidth="1"/>
    <col min="68" max="68" width="10.5703125" style="92" customWidth="1"/>
    <col min="69" max="69" width="9.5703125" style="92" customWidth="1"/>
    <col min="70" max="70" width="9.140625" style="92" customWidth="1"/>
    <col min="71" max="75" width="11.5703125" style="92" customWidth="1"/>
    <col min="76" max="80" width="13.28515625" style="92" customWidth="1"/>
    <col min="81" max="81" width="9.28515625" style="92" customWidth="1"/>
    <col min="82" max="83" width="13.28515625" style="92" customWidth="1"/>
    <col min="84" max="84" width="11.5703125" style="92" customWidth="1"/>
    <col min="85" max="85" width="10.5703125" style="92" customWidth="1"/>
    <col min="86" max="86" width="13.28515625" style="92" customWidth="1"/>
    <col min="87" max="87" width="11.5703125" style="92" customWidth="1"/>
    <col min="88" max="88" width="9.28515625" style="92" customWidth="1"/>
    <col min="89" max="89" width="11.5703125" style="92" customWidth="1"/>
    <col min="90" max="90" width="13.28515625" style="92" customWidth="1"/>
    <col min="91" max="91" width="11.5703125" style="92" customWidth="1"/>
    <col min="92" max="92" width="9.5703125" style="92" customWidth="1"/>
    <col min="93" max="93" width="14.28515625" style="92" bestFit="1" customWidth="1"/>
    <col min="94" max="16384" width="9.140625" style="92"/>
  </cols>
  <sheetData>
    <row r="1" spans="1:15" ht="34.5" x14ac:dyDescent="0.45">
      <c r="A1" s="325" t="s">
        <v>2019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1:15" ht="18" x14ac:dyDescent="0.25">
      <c r="A2" s="277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</row>
    <row r="3" spans="1:15" ht="18" x14ac:dyDescent="0.25">
      <c r="A3" s="327" t="s">
        <v>4110</v>
      </c>
      <c r="B3" s="327"/>
      <c r="C3" s="327"/>
      <c r="D3" s="327"/>
      <c r="E3" s="327" t="s">
        <v>4111</v>
      </c>
      <c r="F3" s="327"/>
      <c r="G3" s="327"/>
      <c r="H3" s="327"/>
      <c r="I3" s="328" t="s">
        <v>4112</v>
      </c>
      <c r="J3" s="328"/>
      <c r="K3" s="328"/>
      <c r="L3" s="328"/>
      <c r="M3" s="328"/>
      <c r="N3" s="328"/>
      <c r="O3" s="328"/>
    </row>
    <row r="4" spans="1:15" ht="4.5" customHeight="1" x14ac:dyDescent="0.25">
      <c r="A4" s="278"/>
      <c r="B4" s="278"/>
      <c r="C4" s="278"/>
      <c r="D4" s="278"/>
      <c r="E4" s="278"/>
      <c r="F4" s="277"/>
      <c r="G4" s="277"/>
      <c r="H4" s="277"/>
      <c r="I4" s="277"/>
      <c r="J4" s="277"/>
      <c r="K4" s="277"/>
      <c r="L4" s="277"/>
      <c r="M4" s="277"/>
      <c r="N4" s="277"/>
      <c r="O4" s="277"/>
    </row>
    <row r="5" spans="1:15" ht="18.75" x14ac:dyDescent="0.3">
      <c r="A5" s="277"/>
      <c r="B5" s="279" t="s">
        <v>4113</v>
      </c>
      <c r="C5" s="280">
        <f>AW35</f>
        <v>52444729.495344132</v>
      </c>
      <c r="D5" s="280"/>
      <c r="E5" s="281"/>
      <c r="F5" s="280">
        <f>AW26</f>
        <v>14611559</v>
      </c>
      <c r="G5" s="282" t="s">
        <v>4076</v>
      </c>
      <c r="H5" s="282"/>
      <c r="I5" s="277"/>
      <c r="J5" s="283" t="s">
        <v>4128</v>
      </c>
      <c r="K5" s="277"/>
      <c r="L5" s="277"/>
      <c r="M5" s="277"/>
      <c r="N5" s="277"/>
      <c r="O5" s="277"/>
    </row>
    <row r="6" spans="1:15" ht="4.5" customHeight="1" x14ac:dyDescent="0.25">
      <c r="A6" s="277"/>
      <c r="B6" s="284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</row>
    <row r="7" spans="1:15" ht="18.75" x14ac:dyDescent="0.3">
      <c r="A7" s="277"/>
      <c r="B7" s="279" t="s">
        <v>4114</v>
      </c>
      <c r="C7" s="280">
        <f>+AP35</f>
        <v>12962160.629344136</v>
      </c>
      <c r="D7" s="280"/>
      <c r="E7" s="277"/>
      <c r="F7" s="280">
        <f>+AW27</f>
        <v>14433446.886000002</v>
      </c>
      <c r="G7" s="282" t="s">
        <v>4078</v>
      </c>
      <c r="H7" s="282"/>
      <c r="I7" s="277"/>
      <c r="J7" s="283" t="s">
        <v>4115</v>
      </c>
      <c r="K7" s="277"/>
      <c r="L7" s="277"/>
      <c r="M7" s="277"/>
      <c r="N7" s="277"/>
      <c r="O7" s="277"/>
    </row>
    <row r="8" spans="1:15" ht="4.5" customHeight="1" x14ac:dyDescent="0.25">
      <c r="A8" s="277"/>
      <c r="B8" s="284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</row>
    <row r="9" spans="1:15" ht="18.75" x14ac:dyDescent="0.3">
      <c r="A9" s="277"/>
      <c r="B9" s="279" t="s">
        <v>4116</v>
      </c>
      <c r="C9" s="280">
        <f>+AW60</f>
        <v>64743840.281504966</v>
      </c>
      <c r="D9" s="280"/>
      <c r="E9" s="281"/>
      <c r="F9" s="280">
        <f>+AW28</f>
        <v>12962160.629344136</v>
      </c>
      <c r="G9" s="282" t="s">
        <v>4117</v>
      </c>
      <c r="H9" s="282"/>
      <c r="I9" s="277"/>
      <c r="J9" s="283" t="s">
        <v>4118</v>
      </c>
      <c r="K9" s="277"/>
      <c r="L9" s="277"/>
      <c r="M9" s="277"/>
      <c r="N9" s="277"/>
      <c r="O9" s="277"/>
    </row>
    <row r="10" spans="1:15" ht="4.5" customHeight="1" x14ac:dyDescent="0.25">
      <c r="A10" s="277"/>
      <c r="B10" s="285"/>
      <c r="C10" s="280"/>
      <c r="D10" s="280"/>
      <c r="E10" s="277"/>
      <c r="F10" s="280"/>
      <c r="G10" s="277"/>
      <c r="H10" s="277"/>
      <c r="I10" s="277"/>
      <c r="J10" s="277"/>
      <c r="K10" s="277"/>
      <c r="L10" s="277"/>
      <c r="M10" s="277"/>
      <c r="N10" s="277"/>
      <c r="O10" s="277"/>
    </row>
    <row r="11" spans="1:15" ht="18.75" x14ac:dyDescent="0.3">
      <c r="A11" s="277"/>
      <c r="B11" s="279" t="s">
        <v>4119</v>
      </c>
      <c r="C11" s="280">
        <f>+AW55</f>
        <v>27372000</v>
      </c>
      <c r="D11" s="280"/>
      <c r="E11" s="277"/>
      <c r="F11" s="277"/>
      <c r="G11" s="277"/>
      <c r="H11" s="277"/>
      <c r="I11" s="277"/>
      <c r="J11" s="283" t="s">
        <v>4120</v>
      </c>
      <c r="K11" s="277"/>
      <c r="L11" s="277"/>
      <c r="M11" s="277"/>
      <c r="N11" s="277"/>
      <c r="O11" s="277"/>
    </row>
    <row r="12" spans="1:15" ht="4.5" customHeight="1" x14ac:dyDescent="0.25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</row>
    <row r="13" spans="1:15" ht="18.75" x14ac:dyDescent="0.3">
      <c r="A13" s="277"/>
      <c r="B13" s="279" t="s">
        <v>4121</v>
      </c>
      <c r="C13" s="280">
        <f>+AW44</f>
        <v>4715126.21</v>
      </c>
      <c r="D13" s="280"/>
      <c r="E13" s="277"/>
      <c r="F13" s="280"/>
      <c r="G13" s="277"/>
      <c r="H13" s="277"/>
      <c r="I13" s="277"/>
      <c r="J13" s="283" t="s">
        <v>4122</v>
      </c>
      <c r="K13" s="277"/>
      <c r="L13" s="277"/>
      <c r="M13" s="277"/>
      <c r="N13" s="277"/>
      <c r="O13" s="277"/>
    </row>
    <row r="14" spans="1:15" ht="4.5" customHeight="1" x14ac:dyDescent="0.25"/>
    <row r="15" spans="1:15" ht="18.75" x14ac:dyDescent="0.3">
      <c r="J15" s="283" t="s">
        <v>4129</v>
      </c>
    </row>
    <row r="16" spans="1:15" ht="4.5" customHeight="1" x14ac:dyDescent="0.25"/>
    <row r="17" spans="1:98" ht="18.75" x14ac:dyDescent="0.3">
      <c r="J17" s="283" t="s">
        <v>4127</v>
      </c>
    </row>
    <row r="20" spans="1:98" ht="34.5" x14ac:dyDescent="0.45">
      <c r="A20" s="325" t="s">
        <v>4130</v>
      </c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</row>
    <row r="24" spans="1:98" x14ac:dyDescent="0.25">
      <c r="AZ24" s="271" t="s">
        <v>4073</v>
      </c>
    </row>
    <row r="25" spans="1:98" x14ac:dyDescent="0.25">
      <c r="AN25" s="326" t="s">
        <v>4104</v>
      </c>
      <c r="AO25" s="326"/>
      <c r="AP25" s="326"/>
      <c r="AQ25" s="326"/>
      <c r="AU25" s="326" t="s">
        <v>4073</v>
      </c>
      <c r="AV25" s="326"/>
      <c r="AW25" s="326"/>
      <c r="AZ25" s="272" t="s">
        <v>3471</v>
      </c>
      <c r="BA25" s="273" t="s">
        <v>3472</v>
      </c>
      <c r="BB25" s="272" t="s">
        <v>3473</v>
      </c>
      <c r="BC25" s="273" t="s">
        <v>3474</v>
      </c>
      <c r="BD25" s="273" t="s">
        <v>3475</v>
      </c>
      <c r="BE25" s="273" t="s">
        <v>3476</v>
      </c>
      <c r="BF25" s="92">
        <v>101</v>
      </c>
      <c r="BG25" s="92">
        <v>102</v>
      </c>
      <c r="BH25" s="92">
        <v>104</v>
      </c>
      <c r="BI25" s="92">
        <v>106</v>
      </c>
      <c r="BJ25" s="92">
        <v>107</v>
      </c>
      <c r="BK25" s="92">
        <v>113</v>
      </c>
      <c r="BL25" s="92">
        <v>114</v>
      </c>
      <c r="BM25" s="92">
        <v>115</v>
      </c>
      <c r="BN25" s="92">
        <v>198</v>
      </c>
      <c r="BO25" s="92">
        <v>214</v>
      </c>
      <c r="BP25" s="92">
        <v>215</v>
      </c>
      <c r="BQ25" s="92">
        <v>216</v>
      </c>
      <c r="BR25" s="92">
        <v>217</v>
      </c>
      <c r="BS25" s="92">
        <v>218</v>
      </c>
      <c r="BT25" s="92">
        <v>219</v>
      </c>
      <c r="BU25" s="92">
        <v>220</v>
      </c>
      <c r="BV25" s="92">
        <v>301</v>
      </c>
      <c r="BW25" s="92">
        <v>302</v>
      </c>
      <c r="BX25" s="92">
        <v>310</v>
      </c>
      <c r="BY25" s="92">
        <v>370</v>
      </c>
      <c r="BZ25" s="92">
        <v>401</v>
      </c>
      <c r="CA25" s="92">
        <v>402</v>
      </c>
      <c r="CB25" s="92">
        <v>403</v>
      </c>
      <c r="CC25" s="92">
        <v>404</v>
      </c>
      <c r="CD25" s="92">
        <v>405</v>
      </c>
      <c r="CE25" s="92">
        <v>407</v>
      </c>
      <c r="CF25" s="92">
        <v>408</v>
      </c>
      <c r="CG25" s="92">
        <v>409</v>
      </c>
      <c r="CH25" s="92">
        <v>413</v>
      </c>
      <c r="CI25" s="92">
        <v>414</v>
      </c>
      <c r="CJ25" s="92">
        <v>415</v>
      </c>
      <c r="CK25" s="92">
        <v>510</v>
      </c>
      <c r="CL25" s="92">
        <v>550</v>
      </c>
      <c r="CM25" s="92">
        <v>650</v>
      </c>
      <c r="CN25" s="92">
        <v>651</v>
      </c>
    </row>
    <row r="26" spans="1:98" x14ac:dyDescent="0.25">
      <c r="AN26" s="92" t="s">
        <v>2031</v>
      </c>
      <c r="AO26" s="275">
        <f t="shared" ref="AO26:AO34" si="0">AP26/$AP$35</f>
        <v>0.34292967608510883</v>
      </c>
      <c r="AP26" s="271">
        <f>+'001 GF Current Expense'!J11+'001 GF Current Expense'!J12+'113 TBD'!H12+'198 Hotel Motel'!H9+'198 Hotel Motel'!H10</f>
        <v>4445109.545984135</v>
      </c>
      <c r="AU26" s="274" t="s">
        <v>4076</v>
      </c>
      <c r="AV26" s="275">
        <f t="shared" ref="AV26:AV34" si="1">AW26/$AW$35</f>
        <v>0.27860872084957872</v>
      </c>
      <c r="AW26" s="271">
        <f t="shared" ref="AW26:AW34" si="2">SUM(AZ26:CN26)</f>
        <v>14611559</v>
      </c>
      <c r="AY26" s="274" t="s">
        <v>4076</v>
      </c>
      <c r="AZ26" s="271">
        <f>+'001 GF Current Expense'!J59+'001 GF Current Expense'!J70+'001 GF Current Expense'!J88</f>
        <v>129624</v>
      </c>
      <c r="BA26" s="271"/>
      <c r="BC26" s="271"/>
      <c r="BD26" s="271"/>
      <c r="BE26" s="271"/>
      <c r="BF26" s="271">
        <f>+'101 Streets'!H18+'101 Streets'!H34+'101 Streets'!H14+'101 Streets'!H46</f>
        <v>2980000</v>
      </c>
      <c r="BG26" s="271"/>
      <c r="BH26" s="271"/>
      <c r="BI26" s="271"/>
      <c r="BJ26" s="271"/>
      <c r="BK26" s="271"/>
      <c r="BL26" s="271">
        <f>+'114 Streets'!H11</f>
        <v>0</v>
      </c>
      <c r="BM26" s="271">
        <f>+'115 ARPA'!H10</f>
        <v>0</v>
      </c>
      <c r="BN26" s="271"/>
      <c r="BO26" s="271"/>
      <c r="BP26" s="271"/>
      <c r="BQ26" s="271"/>
      <c r="BR26" s="271"/>
      <c r="BS26" s="271"/>
      <c r="BT26" s="271"/>
      <c r="BU26" s="271"/>
      <c r="BV26" s="271"/>
      <c r="BW26" s="271"/>
      <c r="BX26" s="271">
        <f>+'310 MW Skate Park'!H10+'310 MW Skate Park'!H11</f>
        <v>680000</v>
      </c>
      <c r="BY26" s="271">
        <f>SUM('370 Thornton'!H10:H14)</f>
        <v>7300000</v>
      </c>
      <c r="BZ26" s="271">
        <f>+'401 Water'!H21</f>
        <v>1100000</v>
      </c>
      <c r="CA26" s="271">
        <f>+'402 Sewer'!H10+'402 Sewer'!H11+'402 Sewer'!H12+'402 Sewer'!H13</f>
        <v>0</v>
      </c>
      <c r="CB26" s="271"/>
      <c r="CC26" s="271"/>
      <c r="CD26" s="271"/>
      <c r="CE26" s="271">
        <f>+'407 Storm Flood Control'!H14+'407 Storm Flood Control'!H20+'407 Storm Flood Control'!H22</f>
        <v>2421935</v>
      </c>
      <c r="CF26" s="271"/>
      <c r="CG26" s="271"/>
      <c r="CH26" s="271"/>
      <c r="CI26" s="271"/>
      <c r="CJ26" s="271">
        <f>+'415 WWTP'!H10</f>
        <v>0</v>
      </c>
      <c r="CK26" s="271">
        <f>+'510 Computer'!H13</f>
        <v>0</v>
      </c>
      <c r="CL26" s="271"/>
      <c r="CM26" s="271"/>
      <c r="CN26" s="271"/>
      <c r="CP26" s="271"/>
      <c r="CQ26" s="271"/>
      <c r="CR26" s="271"/>
      <c r="CS26" s="271"/>
      <c r="CT26" s="271"/>
    </row>
    <row r="27" spans="1:98" x14ac:dyDescent="0.25">
      <c r="AN27" s="92" t="s">
        <v>2577</v>
      </c>
      <c r="AO27" s="275">
        <f t="shared" si="0"/>
        <v>0.20752713046236257</v>
      </c>
      <c r="AP27" s="271">
        <f>+'005 GF Solid Waste UT'!H14</f>
        <v>2690000</v>
      </c>
      <c r="AU27" s="274" t="s">
        <v>4078</v>
      </c>
      <c r="AV27" s="275">
        <f t="shared" si="1"/>
        <v>0.27521253374528998</v>
      </c>
      <c r="AW27" s="271">
        <f t="shared" si="2"/>
        <v>14433446.886000002</v>
      </c>
      <c r="AY27" s="274" t="s">
        <v>4078</v>
      </c>
      <c r="AZ27" s="271">
        <f>+'001 GF Current Expense'!J178</f>
        <v>737856.69</v>
      </c>
      <c r="BA27" s="271"/>
      <c r="BC27" s="271"/>
      <c r="BD27" s="271"/>
      <c r="BE27" s="271"/>
      <c r="BF27" s="271"/>
      <c r="BG27" s="271"/>
      <c r="BH27" s="271">
        <f>+'104 Traffic Mitigation'!H13</f>
        <v>0</v>
      </c>
      <c r="BI27" s="271"/>
      <c r="BJ27" s="271"/>
      <c r="BK27" s="271"/>
      <c r="BL27" s="271"/>
      <c r="BM27" s="271"/>
      <c r="BN27" s="271"/>
      <c r="BO27" s="271"/>
      <c r="BP27" s="271"/>
      <c r="BQ27" s="271"/>
      <c r="BR27" s="271"/>
      <c r="BS27" s="271"/>
      <c r="BT27" s="271"/>
      <c r="BU27" s="271"/>
      <c r="BV27" s="271"/>
      <c r="BW27" s="271"/>
      <c r="BX27" s="271"/>
      <c r="BY27" s="271"/>
      <c r="BZ27" s="271">
        <f>+'401 Water'!H44</f>
        <v>4670995.1330000004</v>
      </c>
      <c r="CA27" s="271">
        <f>+'402 Sewer'!H27</f>
        <v>6400584.023</v>
      </c>
      <c r="CB27" s="271"/>
      <c r="CC27" s="271"/>
      <c r="CD27" s="271"/>
      <c r="CE27" s="271">
        <f>+'407 Storm Flood Control'!H33+'407 Storm Flood Control'!H43</f>
        <v>1621117.6500000001</v>
      </c>
      <c r="CF27" s="271"/>
      <c r="CG27" s="271"/>
      <c r="CH27" s="271"/>
      <c r="CI27" s="271"/>
      <c r="CJ27" s="271"/>
      <c r="CK27" s="271">
        <f>+'510 Computer'!H15</f>
        <v>270248.06999999995</v>
      </c>
      <c r="CL27" s="271">
        <f>'550 Equipment'!H12</f>
        <v>732645.32000000007</v>
      </c>
      <c r="CM27" s="271"/>
      <c r="CN27" s="271"/>
      <c r="CP27" s="271"/>
      <c r="CQ27" s="271"/>
      <c r="CR27" s="271"/>
      <c r="CS27" s="271"/>
      <c r="CT27" s="271"/>
    </row>
    <row r="28" spans="1:98" x14ac:dyDescent="0.25">
      <c r="AN28" s="92" t="s">
        <v>4075</v>
      </c>
      <c r="AO28" s="275">
        <f t="shared" si="0"/>
        <v>0.18048216884952858</v>
      </c>
      <c r="AP28" s="271">
        <f>+'001 GF Current Expense'!J13+'001 GF Current Expense'!J14+'001 GF Current Expense'!J15+'001 GF Current Expense'!J16+'001 GF Current Expense'!J18</f>
        <v>2339438.8633599998</v>
      </c>
      <c r="AU28" s="274" t="s">
        <v>4102</v>
      </c>
      <c r="AV28" s="275">
        <f t="shared" si="1"/>
        <v>0.24715849912992444</v>
      </c>
      <c r="AW28" s="271">
        <f t="shared" si="2"/>
        <v>12962160.629344136</v>
      </c>
      <c r="AY28" s="274" t="s">
        <v>4102</v>
      </c>
      <c r="AZ28" s="271">
        <f>'001 GF Current Expense'!J11+'001 GF Current Expense'!J12+'001 GF Current Expense'!J13+'001 GF Current Expense'!J14+'001 GF Current Expense'!J15+'001 GF Current Expense'!J16+'001 GF Current Expense'!J17+'001 GF Current Expense'!J18+'001 GF Current Expense'!J10+'001 GF Current Expense'!J97</f>
        <v>8136832.1580441352</v>
      </c>
      <c r="BA28" s="271"/>
      <c r="BC28" s="271"/>
      <c r="BD28" s="271">
        <f>+'005 GF Solid Waste UT'!H14</f>
        <v>2690000</v>
      </c>
      <c r="BE28" s="271"/>
      <c r="BF28" s="271">
        <f>+'101 Streets'!H40</f>
        <v>329621</v>
      </c>
      <c r="BG28" s="271"/>
      <c r="BH28" s="271"/>
      <c r="BI28" s="271">
        <f>+'106 Criminal Justice'!H14</f>
        <v>26031</v>
      </c>
      <c r="BJ28" s="271">
        <f>+'107 Local Criminal Justice'!H12</f>
        <v>262500</v>
      </c>
      <c r="BK28" s="271">
        <f>+'113 TBD'!H12</f>
        <v>797176.47130000009</v>
      </c>
      <c r="BL28" s="271"/>
      <c r="BM28" s="271"/>
      <c r="BN28" s="271">
        <f>+'198 Hotel Motel'!H9+'198 Hotel Motel'!H10</f>
        <v>56000</v>
      </c>
      <c r="BO28" s="271"/>
      <c r="BP28" s="271"/>
      <c r="BQ28" s="271"/>
      <c r="BR28" s="271"/>
      <c r="BS28" s="271"/>
      <c r="BT28" s="271"/>
      <c r="BU28" s="271">
        <f>+'220 Library LTGO'!H10</f>
        <v>64000</v>
      </c>
      <c r="BV28" s="271">
        <f>+'301 REET'!H10</f>
        <v>300000</v>
      </c>
      <c r="BW28" s="271">
        <f>+'302 REET'!H10</f>
        <v>300000</v>
      </c>
      <c r="BX28" s="271"/>
      <c r="BY28" s="271"/>
      <c r="BZ28" s="271"/>
      <c r="CA28" s="271"/>
      <c r="CB28" s="271"/>
      <c r="CC28" s="271"/>
      <c r="CD28" s="271"/>
      <c r="CE28" s="271"/>
      <c r="CF28" s="271"/>
      <c r="CG28" s="271"/>
      <c r="CH28" s="271"/>
      <c r="CI28" s="271"/>
      <c r="CJ28" s="271"/>
      <c r="CK28" s="271"/>
      <c r="CL28" s="271"/>
      <c r="CM28" s="271"/>
      <c r="CN28" s="271"/>
      <c r="CP28" s="271"/>
      <c r="CQ28" s="271"/>
      <c r="CR28" s="271"/>
      <c r="CS28" s="271"/>
      <c r="CT28" s="271"/>
    </row>
    <row r="29" spans="1:98" x14ac:dyDescent="0.25">
      <c r="AN29" s="92" t="s">
        <v>2029</v>
      </c>
      <c r="AO29" s="275">
        <f t="shared" si="0"/>
        <v>0.14906737196465122</v>
      </c>
      <c r="AP29" s="271">
        <f>+'001 GF Current Expense'!J10</f>
        <v>1932235.22</v>
      </c>
      <c r="AU29" s="274" t="s">
        <v>4077</v>
      </c>
      <c r="AV29" s="275">
        <f t="shared" si="1"/>
        <v>1.7155203366619944E-2</v>
      </c>
      <c r="AW29" s="271">
        <f t="shared" si="2"/>
        <v>899700</v>
      </c>
      <c r="AY29" s="274" t="s">
        <v>4079</v>
      </c>
      <c r="AZ29" s="271">
        <f>+'001 GF Current Expense'!J53</f>
        <v>877000</v>
      </c>
      <c r="BA29" s="271"/>
      <c r="BC29" s="271"/>
      <c r="BD29" s="271"/>
      <c r="BE29" s="271"/>
      <c r="BF29" s="271">
        <f>+'101 Streets'!H50+'101 Streets'!H51+'101 Streets'!H52+'101 Streets'!H53</f>
        <v>15000</v>
      </c>
      <c r="BG29" s="271"/>
      <c r="BH29" s="271"/>
      <c r="BI29" s="271"/>
      <c r="BJ29" s="271"/>
      <c r="BK29" s="271"/>
      <c r="BL29" s="271"/>
      <c r="BM29" s="271"/>
      <c r="BN29" s="271"/>
      <c r="BO29" s="271"/>
      <c r="BP29" s="271"/>
      <c r="BQ29" s="271"/>
      <c r="BR29" s="271"/>
      <c r="BS29" s="271"/>
      <c r="BT29" s="271"/>
      <c r="BU29" s="271"/>
      <c r="BV29" s="271"/>
      <c r="BW29" s="271"/>
      <c r="BX29" s="271"/>
      <c r="BY29" s="271"/>
      <c r="BZ29" s="271"/>
      <c r="CA29" s="271"/>
      <c r="CB29" s="271"/>
      <c r="CC29" s="271"/>
      <c r="CD29" s="271"/>
      <c r="CE29" s="271"/>
      <c r="CF29" s="271"/>
      <c r="CG29" s="271"/>
      <c r="CH29" s="271"/>
      <c r="CI29" s="271"/>
      <c r="CJ29" s="271"/>
      <c r="CK29" s="271"/>
      <c r="CL29" s="271"/>
      <c r="CM29" s="271">
        <f>+'650 Court Agency'!H20</f>
        <v>7700</v>
      </c>
      <c r="CN29" s="271"/>
      <c r="CP29" s="271"/>
      <c r="CQ29" s="271"/>
      <c r="CR29" s="271"/>
      <c r="CS29" s="271"/>
      <c r="CT29" s="271"/>
    </row>
    <row r="30" spans="1:98" x14ac:dyDescent="0.25">
      <c r="AN30" s="92" t="s">
        <v>4105</v>
      </c>
      <c r="AO30" s="275">
        <f t="shared" si="0"/>
        <v>4.6288579285285326E-2</v>
      </c>
      <c r="AP30" s="271">
        <f>+'301 REET'!H13+'302 REET'!H14</f>
        <v>600000</v>
      </c>
      <c r="AU30" s="274" t="s">
        <v>4094</v>
      </c>
      <c r="AV30" s="275">
        <f t="shared" si="1"/>
        <v>9.9152003452732812E-3</v>
      </c>
      <c r="AW30" s="271">
        <f t="shared" si="2"/>
        <v>520000</v>
      </c>
      <c r="AY30" s="274" t="s">
        <v>4080</v>
      </c>
      <c r="BA30" s="271"/>
      <c r="BC30" s="271"/>
      <c r="BD30" s="271"/>
      <c r="BE30" s="271">
        <f>+'007 GF PPC Rev'!H10</f>
        <v>20000</v>
      </c>
      <c r="BF30" s="271"/>
      <c r="BG30" s="271">
        <f>+'102 Park Mitigation'!H13</f>
        <v>100000</v>
      </c>
      <c r="BH30" s="271">
        <f>+'104 Traffic Mitigation'!H20</f>
        <v>400000</v>
      </c>
      <c r="BI30" s="271"/>
      <c r="BJ30" s="271"/>
      <c r="BK30" s="271"/>
      <c r="BL30" s="271"/>
      <c r="BM30" s="271"/>
      <c r="BN30" s="271"/>
      <c r="BO30" s="271"/>
      <c r="BP30" s="271"/>
      <c r="BQ30" s="271"/>
      <c r="BR30" s="271"/>
      <c r="BS30" s="271"/>
      <c r="BT30" s="271"/>
      <c r="BU30" s="271"/>
      <c r="BV30" s="271"/>
      <c r="BW30" s="271"/>
      <c r="BX30" s="271"/>
      <c r="BY30" s="271"/>
      <c r="BZ30" s="271"/>
      <c r="CA30" s="271"/>
      <c r="CB30" s="271"/>
      <c r="CC30" s="271"/>
      <c r="CD30" s="271"/>
      <c r="CE30" s="271">
        <f>+'407 Storm Flood Control'!H47+'407 Storm Flood Control'!H48+'407 Storm Flood Control'!H49</f>
        <v>0</v>
      </c>
      <c r="CF30" s="271"/>
      <c r="CG30" s="271"/>
      <c r="CH30" s="271"/>
      <c r="CI30" s="271"/>
      <c r="CJ30" s="271"/>
      <c r="CK30" s="271"/>
      <c r="CL30" s="271"/>
      <c r="CM30" s="271"/>
      <c r="CN30" s="271"/>
      <c r="CP30" s="271"/>
      <c r="CQ30" s="271"/>
      <c r="CR30" s="271"/>
      <c r="CS30" s="271"/>
      <c r="CT30" s="271"/>
    </row>
    <row r="31" spans="1:98" x14ac:dyDescent="0.25">
      <c r="AN31" s="92" t="s">
        <v>4108</v>
      </c>
      <c r="AO31" s="275">
        <f t="shared" si="0"/>
        <v>2.5429479654325061E-2</v>
      </c>
      <c r="AP31" s="271">
        <f>'101 Streets'!H40</f>
        <v>329621</v>
      </c>
      <c r="AU31" s="274" t="s">
        <v>4097</v>
      </c>
      <c r="AV31" s="275">
        <f t="shared" si="1"/>
        <v>1.1440615783007632E-2</v>
      </c>
      <c r="AW31" s="271">
        <f t="shared" si="2"/>
        <v>600000</v>
      </c>
      <c r="AY31" s="274" t="s">
        <v>4097</v>
      </c>
      <c r="BA31" s="271"/>
      <c r="BC31" s="271"/>
      <c r="BD31" s="271"/>
      <c r="BE31" s="271"/>
      <c r="BF31" s="271"/>
      <c r="BG31" s="271"/>
      <c r="BH31" s="271"/>
      <c r="BI31" s="271"/>
      <c r="BJ31" s="271"/>
      <c r="BK31" s="271"/>
      <c r="BL31" s="271"/>
      <c r="BM31" s="271"/>
      <c r="BN31" s="271"/>
      <c r="BO31" s="271"/>
      <c r="BP31" s="271"/>
      <c r="BQ31" s="271"/>
      <c r="BR31" s="271"/>
      <c r="BS31" s="271"/>
      <c r="BT31" s="271"/>
      <c r="BU31" s="271"/>
      <c r="BV31" s="271"/>
      <c r="BW31" s="271"/>
      <c r="BX31" s="271"/>
      <c r="BY31" s="271">
        <f>+'370 Thornton'!H27</f>
        <v>0</v>
      </c>
      <c r="BZ31" s="271">
        <f>+'401 Water'!H71+'401 Water'!H80+'401 Water'!H81+'401 Water'!H82+'401 Water'!H83+'401 Water'!H84</f>
        <v>0</v>
      </c>
      <c r="CA31" s="271">
        <f>+'402 Sewer'!H59</f>
        <v>0</v>
      </c>
      <c r="CB31" s="271">
        <f>+'403 WS Bond'!H16+'403 WS Bond'!H17</f>
        <v>0</v>
      </c>
      <c r="CC31" s="271"/>
      <c r="CD31" s="271"/>
      <c r="CE31" s="271">
        <f>+'407 Storm Flood Control'!H66+'407 Storm Flood Control'!H75</f>
        <v>0</v>
      </c>
      <c r="CF31" s="271"/>
      <c r="CG31" s="271"/>
      <c r="CH31" s="271">
        <f>+'413 WTP Upgrade'!H10</f>
        <v>600000</v>
      </c>
      <c r="CI31" s="271">
        <f>+'414 Shop Well'!H10</f>
        <v>0</v>
      </c>
      <c r="CJ31" s="271">
        <f>+'415 WWTP'!H11+'415 WWTP'!H12</f>
        <v>0</v>
      </c>
      <c r="CK31" s="271"/>
      <c r="CL31" s="271"/>
      <c r="CM31" s="271"/>
      <c r="CN31" s="271"/>
      <c r="CP31" s="271"/>
      <c r="CQ31" s="271"/>
      <c r="CR31" s="271"/>
      <c r="CS31" s="271"/>
      <c r="CT31" s="271"/>
    </row>
    <row r="32" spans="1:98" x14ac:dyDescent="0.25">
      <c r="AN32" s="92" t="s">
        <v>1061</v>
      </c>
      <c r="AO32" s="275">
        <f t="shared" si="0"/>
        <v>2.2259483449604437E-2</v>
      </c>
      <c r="AP32" s="271">
        <f>+'106 Criminal Justice'!H14+'107 Local Criminal Justice'!H12</f>
        <v>288531</v>
      </c>
      <c r="AU32" s="274" t="s">
        <v>4079</v>
      </c>
      <c r="AV32" s="275">
        <f t="shared" si="1"/>
        <v>7.5644013005199849E-3</v>
      </c>
      <c r="AW32" s="271">
        <f t="shared" si="2"/>
        <v>396712.98</v>
      </c>
      <c r="AY32" s="274" t="s">
        <v>64</v>
      </c>
      <c r="AZ32" s="271">
        <f>+'001 GF Current Expense'!J107+'001 GF Current Expense'!J282+'001 GF Current Expense'!J302</f>
        <v>188450.98</v>
      </c>
      <c r="BA32" s="271">
        <f>+'002 GF Contingency Reserve'!I15</f>
        <v>0</v>
      </c>
      <c r="BB32" s="271">
        <f>+'003 GF Facilities Reserve'!H15</f>
        <v>0</v>
      </c>
      <c r="BC32" s="271">
        <f>+'004 GF Leoff '!H15</f>
        <v>0</v>
      </c>
      <c r="BD32" s="271">
        <f>+'005 GF Solid Waste UT'!H27</f>
        <v>5000</v>
      </c>
      <c r="BE32" s="271">
        <f>+'007 GF PPC Rev'!H11+'007 GF PPC Rev'!H12+'007 GF PPC Rev'!H16</f>
        <v>10000</v>
      </c>
      <c r="BF32" s="271">
        <f>+'101 Streets'!H58+'101 Streets'!H61+'101 Streets'!H67+'101 Streets'!H75</f>
        <v>0</v>
      </c>
      <c r="BG32" s="271">
        <f>+'102 Park Mitigation'!H21</f>
        <v>0</v>
      </c>
      <c r="BH32" s="271">
        <f>+'104 Traffic Mitigation'!H26</f>
        <v>500</v>
      </c>
      <c r="BI32" s="271">
        <f>+'106 Criminal Justice'!H20</f>
        <v>0</v>
      </c>
      <c r="BJ32" s="271">
        <f>+'107 Local Criminal Justice'!H17</f>
        <v>0</v>
      </c>
      <c r="BK32" s="271">
        <f>+'113 TBD'!H19</f>
        <v>1000</v>
      </c>
      <c r="BL32" s="271"/>
      <c r="BM32" s="271"/>
      <c r="BN32" s="271">
        <f>+'198 Hotel Motel'!H15</f>
        <v>100</v>
      </c>
      <c r="BO32" s="271">
        <f>+'214 SPL Debt'!H14</f>
        <v>0</v>
      </c>
      <c r="BP32" s="271">
        <f>+'215 LaBounty Bond'!H21</f>
        <v>17000</v>
      </c>
      <c r="BQ32" s="271">
        <f>+'216 LaBounty Bond '!H15</f>
        <v>0</v>
      </c>
      <c r="BR32" s="271">
        <f>+'217 LaBounty GO'!H13</f>
        <v>0</v>
      </c>
      <c r="BS32" s="271">
        <f>+'218 LTGO Bond'!H14+'218 LTGO Bond'!H19+'218 LTGO Bond'!H21+'218 LTGO Bond'!H24+'218 LTGO Bond'!H25</f>
        <v>0</v>
      </c>
      <c r="BT32" s="271">
        <f>+'219 LTGO'!H13</f>
        <v>0</v>
      </c>
      <c r="BU32" s="271">
        <f>+'220 Library LTGO'!H11</f>
        <v>0</v>
      </c>
      <c r="BV32" s="271">
        <f>+'301 REET'!H11+'301 REET'!H12</f>
        <v>0</v>
      </c>
      <c r="BW32" s="271">
        <f>+'302 REET'!H11+'302 REET'!H12+'302 REET'!H13</f>
        <v>0</v>
      </c>
      <c r="BX32" s="271"/>
      <c r="BY32" s="271">
        <f>+'370 Thornton'!H15+'370 Thornton'!H16</f>
        <v>0</v>
      </c>
      <c r="BZ32" s="271">
        <f>+'401 Water'!H12+'401 Water'!H48+'401 Water'!H49+'401 Water'!H50+'401 Water'!H51+'401 Water'!H55+'401 Water'!H56+'401 Water'!H57+'401 Water'!H64+'401 Water'!H75+'401 Water'!H89</f>
        <v>24662</v>
      </c>
      <c r="CA32" s="271">
        <f>+'402 Sewer'!H42+'402 Sewer'!H47+'402 Sewer'!H53+'402 Sewer'!H61</f>
        <v>0</v>
      </c>
      <c r="CB32" s="271">
        <f>+'403 WS Bond'!H13</f>
        <v>0</v>
      </c>
      <c r="CC32" s="271">
        <f>+'404 Sewer Bond'!H14</f>
        <v>0</v>
      </c>
      <c r="CD32" s="271">
        <f>+'405 WWTP Debt'!H10</f>
        <v>0</v>
      </c>
      <c r="CE32" s="271">
        <f>+'407 Storm Flood Control'!H56+'407 Storm Flood Control'!H60+'407 Storm Flood Control'!H70</f>
        <v>0</v>
      </c>
      <c r="CF32" s="271">
        <f>+'408 Utility Loan'!H14</f>
        <v>0</v>
      </c>
      <c r="CG32" s="271">
        <f>+'409 CCWA Debt'!H10+'409 CCWA Debt'!H11</f>
        <v>45000</v>
      </c>
      <c r="CH32" s="271"/>
      <c r="CI32" s="271"/>
      <c r="CJ32" s="271"/>
      <c r="CK32" s="271">
        <f>+'510 Computer'!H19+'510 Computer'!H23</f>
        <v>0</v>
      </c>
      <c r="CL32" s="271"/>
      <c r="CM32" s="271">
        <f>+'650 Court Agency'!H14</f>
        <v>100000</v>
      </c>
      <c r="CN32" s="271">
        <f>+'651 Court Activity'!H9</f>
        <v>5000</v>
      </c>
      <c r="CP32" s="271"/>
      <c r="CQ32" s="271"/>
      <c r="CR32" s="271"/>
      <c r="CS32" s="271"/>
      <c r="CT32" s="271"/>
    </row>
    <row r="33" spans="40:98" x14ac:dyDescent="0.25">
      <c r="AN33" s="92" t="s">
        <v>4106</v>
      </c>
      <c r="AO33" s="275">
        <f t="shared" si="0"/>
        <v>2.1078661792036806E-2</v>
      </c>
      <c r="AP33" s="271">
        <f>+'001 GF Current Expense'!J97</f>
        <v>273225</v>
      </c>
      <c r="AU33" s="274" t="s">
        <v>4080</v>
      </c>
      <c r="AV33" s="275">
        <f t="shared" si="1"/>
        <v>1.337598661963309E-3</v>
      </c>
      <c r="AW33" s="271">
        <f t="shared" si="2"/>
        <v>70150</v>
      </c>
      <c r="AY33" s="274" t="s">
        <v>4077</v>
      </c>
      <c r="AZ33" s="271">
        <f>+'001 GF Current Expense'!J222</f>
        <v>70150</v>
      </c>
      <c r="BA33" s="271"/>
      <c r="BC33" s="271"/>
      <c r="BD33" s="271"/>
      <c r="BE33" s="271"/>
      <c r="BF33" s="271"/>
      <c r="BG33" s="271"/>
      <c r="BH33" s="271"/>
      <c r="BI33" s="271"/>
      <c r="BJ33" s="271"/>
      <c r="BK33" s="271"/>
      <c r="BL33" s="271"/>
      <c r="BM33" s="271"/>
      <c r="BN33" s="271"/>
      <c r="BO33" s="271"/>
      <c r="BP33" s="271"/>
      <c r="BQ33" s="271"/>
      <c r="BR33" s="271"/>
      <c r="BS33" s="271"/>
      <c r="BT33" s="271"/>
      <c r="BU33" s="271"/>
      <c r="BV33" s="271"/>
      <c r="BW33" s="271"/>
      <c r="BX33" s="271"/>
      <c r="BY33" s="271"/>
      <c r="BZ33" s="271"/>
      <c r="CA33" s="271">
        <f>+'402 Sewer'!H31+'402 Sewer'!H32+'402 Sewer'!H33+'402 Sewer'!H34+'402 Sewer'!H35</f>
        <v>0</v>
      </c>
      <c r="CB33" s="271"/>
      <c r="CC33" s="271"/>
      <c r="CD33" s="271"/>
      <c r="CE33" s="271"/>
      <c r="CF33" s="271"/>
      <c r="CG33" s="271"/>
      <c r="CH33" s="271"/>
      <c r="CI33" s="271"/>
      <c r="CJ33" s="271"/>
      <c r="CK33" s="271"/>
      <c r="CL33" s="271"/>
      <c r="CM33" s="271"/>
      <c r="CN33" s="271"/>
      <c r="CP33" s="271"/>
      <c r="CQ33" s="271"/>
      <c r="CR33" s="271"/>
      <c r="CS33" s="271"/>
      <c r="CT33" s="271"/>
    </row>
    <row r="34" spans="40:98" x14ac:dyDescent="0.25">
      <c r="AN34" s="92" t="s">
        <v>4107</v>
      </c>
      <c r="AO34" s="275">
        <f t="shared" si="0"/>
        <v>4.937448457097102E-3</v>
      </c>
      <c r="AP34" s="271">
        <f>+'220 Library LTGO'!H10</f>
        <v>64000</v>
      </c>
      <c r="AU34" s="274" t="s">
        <v>64</v>
      </c>
      <c r="AV34" s="275">
        <f t="shared" si="1"/>
        <v>0.15160722681782282</v>
      </c>
      <c r="AW34" s="271">
        <f t="shared" si="2"/>
        <v>7951000</v>
      </c>
      <c r="AY34" s="274" t="s">
        <v>4094</v>
      </c>
      <c r="AZ34" s="271">
        <f>+'001 GF Current Expense'!J295</f>
        <v>499000</v>
      </c>
      <c r="BA34" s="271">
        <f>+'002 GF Contingency Reserve'!I19</f>
        <v>110000</v>
      </c>
      <c r="BB34" s="271">
        <f>+'003 GF Facilities Reserve'!H20</f>
        <v>600000</v>
      </c>
      <c r="BC34" s="271">
        <f>+'004 GF Leoff '!H20</f>
        <v>140000</v>
      </c>
      <c r="BD34" s="271">
        <f>+'005 GF Solid Waste UT'!H30+'005 GF Solid Waste UT'!H31</f>
        <v>0</v>
      </c>
      <c r="BE34" s="271">
        <f>+'007 GF PPC Rev'!H13+'007 GF PPC Rev'!H14+'007 GF PPC Rev'!H15</f>
        <v>0</v>
      </c>
      <c r="BF34" s="271">
        <f>+'101 Streets'!H88</f>
        <v>2150000</v>
      </c>
      <c r="BG34" s="271"/>
      <c r="BH34" s="271"/>
      <c r="BI34" s="271"/>
      <c r="BJ34" s="271"/>
      <c r="BK34" s="271"/>
      <c r="BL34" s="271"/>
      <c r="BM34" s="271"/>
      <c r="BN34" s="271"/>
      <c r="BO34" s="271">
        <f>+'214 SPL Debt'!H17+'214 SPL Debt'!H18+'214 SPL Debt'!H19</f>
        <v>120000</v>
      </c>
      <c r="BP34" s="271">
        <f>+'215 LaBounty Bond'!H26</f>
        <v>5000</v>
      </c>
      <c r="BQ34" s="271"/>
      <c r="BR34" s="271">
        <f>+'217 LaBounty GO'!H17</f>
        <v>0</v>
      </c>
      <c r="BS34" s="271">
        <f>+'218 LTGO Bond'!H32</f>
        <v>315000</v>
      </c>
      <c r="BT34" s="271">
        <f>+'219 LTGO'!H18</f>
        <v>170000</v>
      </c>
      <c r="BU34" s="271">
        <f>+'220 Library LTGO'!H12+'220 Library LTGO'!H13</f>
        <v>110000</v>
      </c>
      <c r="BV34" s="271"/>
      <c r="BW34" s="271"/>
      <c r="BX34" s="271">
        <f>+'310 MW Skate Park'!H13+'310 MW Skate Park'!H14+'310 MW Skate Park'!H15</f>
        <v>225000</v>
      </c>
      <c r="BY34" s="271">
        <f>SUM('370 Thornton'!H19:H24)</f>
        <v>0</v>
      </c>
      <c r="BZ34" s="271">
        <f>+'401 Water'!H85+'401 Water'!H86</f>
        <v>0</v>
      </c>
      <c r="CA34" s="271">
        <f>+'402 Sewer'!H62</f>
        <v>0</v>
      </c>
      <c r="CB34" s="271">
        <f>+'403 WS Bond'!H18+'403 WS Bond'!H19+'403 WS Bond'!H20</f>
        <v>1595000</v>
      </c>
      <c r="CC34" s="271"/>
      <c r="CD34" s="271">
        <f>+'405 WWTP Debt'!H13</f>
        <v>1000000</v>
      </c>
      <c r="CE34" s="271">
        <f>+'407 Storm Flood Control'!H80</f>
        <v>0</v>
      </c>
      <c r="CF34" s="271">
        <f>+'408 Utility Loan'!H26</f>
        <v>154000</v>
      </c>
      <c r="CG34" s="271">
        <f>+'409 CCWA Debt'!H12</f>
        <v>0</v>
      </c>
      <c r="CH34" s="271">
        <f>+'413 WTP Upgrade'!H11</f>
        <v>371000</v>
      </c>
      <c r="CI34" s="271">
        <f>+'414 Shop Well'!H11</f>
        <v>0</v>
      </c>
      <c r="CJ34" s="271">
        <f>+'415 WWTP'!H13</f>
        <v>0</v>
      </c>
      <c r="CK34" s="271">
        <f>+'510 Computer'!H28</f>
        <v>0</v>
      </c>
      <c r="CL34" s="271">
        <f>+'550 Equipment'!H48</f>
        <v>387000</v>
      </c>
      <c r="CM34" s="271"/>
      <c r="CN34" s="271"/>
      <c r="CP34" s="271"/>
      <c r="CQ34" s="271"/>
      <c r="CR34" s="271"/>
      <c r="CS34" s="271"/>
      <c r="CT34" s="271"/>
    </row>
    <row r="35" spans="40:98" x14ac:dyDescent="0.25">
      <c r="AP35" s="271">
        <f>SUM(AP26:AP34)</f>
        <v>12962160.629344136</v>
      </c>
      <c r="AW35" s="276">
        <f>SUM(AW26:AW34)</f>
        <v>52444729.495344132</v>
      </c>
      <c r="AY35" s="274"/>
      <c r="BA35" s="271"/>
      <c r="BC35" s="271"/>
      <c r="BD35" s="271"/>
      <c r="BE35" s="271"/>
      <c r="BF35" s="271"/>
      <c r="BG35" s="271"/>
      <c r="BH35" s="271"/>
      <c r="BI35" s="271"/>
      <c r="BJ35" s="271"/>
      <c r="BK35" s="271"/>
      <c r="BL35" s="271"/>
      <c r="BM35" s="271"/>
      <c r="BN35" s="271"/>
      <c r="BO35" s="271"/>
      <c r="BP35" s="271"/>
      <c r="BQ35" s="271"/>
      <c r="BR35" s="271"/>
      <c r="BS35" s="271"/>
      <c r="BT35" s="271"/>
      <c r="BU35" s="271"/>
      <c r="BV35" s="271"/>
      <c r="BW35" s="271"/>
      <c r="BX35" s="271"/>
      <c r="BY35" s="271"/>
      <c r="BZ35" s="271"/>
      <c r="CA35" s="271"/>
      <c r="CB35" s="271"/>
      <c r="CC35" s="271"/>
      <c r="CD35" s="271"/>
      <c r="CE35" s="271"/>
      <c r="CF35" s="271"/>
      <c r="CG35" s="271"/>
      <c r="CH35" s="271"/>
      <c r="CI35" s="271"/>
      <c r="CJ35" s="271"/>
      <c r="CK35" s="271"/>
      <c r="CL35" s="271"/>
      <c r="CM35" s="271"/>
      <c r="CN35" s="271"/>
      <c r="CP35" s="271"/>
      <c r="CQ35" s="271"/>
      <c r="CR35" s="271"/>
      <c r="CS35" s="271"/>
      <c r="CT35" s="271"/>
    </row>
    <row r="36" spans="40:98" x14ac:dyDescent="0.25">
      <c r="AZ36" s="271">
        <f t="shared" ref="AZ36:CN36" si="3">SUM(AZ26:AZ34)</f>
        <v>10638913.828044135</v>
      </c>
      <c r="BA36" s="271">
        <f t="shared" si="3"/>
        <v>110000</v>
      </c>
      <c r="BB36" s="271">
        <f t="shared" si="3"/>
        <v>600000</v>
      </c>
      <c r="BC36" s="271">
        <f t="shared" si="3"/>
        <v>140000</v>
      </c>
      <c r="BD36" s="271">
        <f t="shared" si="3"/>
        <v>2695000</v>
      </c>
      <c r="BE36" s="271">
        <f t="shared" si="3"/>
        <v>30000</v>
      </c>
      <c r="BF36" s="271">
        <f t="shared" si="3"/>
        <v>5474621</v>
      </c>
      <c r="BG36" s="271">
        <f t="shared" si="3"/>
        <v>100000</v>
      </c>
      <c r="BH36" s="271">
        <f t="shared" si="3"/>
        <v>400500</v>
      </c>
      <c r="BI36" s="271">
        <f t="shared" si="3"/>
        <v>26031</v>
      </c>
      <c r="BJ36" s="271">
        <f t="shared" si="3"/>
        <v>262500</v>
      </c>
      <c r="BK36" s="271">
        <f t="shared" si="3"/>
        <v>798176.47130000009</v>
      </c>
      <c r="BL36" s="271">
        <f t="shared" si="3"/>
        <v>0</v>
      </c>
      <c r="BM36" s="271">
        <f t="shared" si="3"/>
        <v>0</v>
      </c>
      <c r="BN36" s="271">
        <f t="shared" si="3"/>
        <v>56100</v>
      </c>
      <c r="BO36" s="271">
        <f t="shared" si="3"/>
        <v>120000</v>
      </c>
      <c r="BP36" s="271">
        <f t="shared" si="3"/>
        <v>22000</v>
      </c>
      <c r="BQ36" s="271">
        <f t="shared" si="3"/>
        <v>0</v>
      </c>
      <c r="BR36" s="271">
        <f t="shared" si="3"/>
        <v>0</v>
      </c>
      <c r="BS36" s="271">
        <f t="shared" si="3"/>
        <v>315000</v>
      </c>
      <c r="BT36" s="271">
        <f t="shared" si="3"/>
        <v>170000</v>
      </c>
      <c r="BU36" s="271">
        <f t="shared" si="3"/>
        <v>174000</v>
      </c>
      <c r="BV36" s="271">
        <f t="shared" si="3"/>
        <v>300000</v>
      </c>
      <c r="BW36" s="271">
        <f t="shared" si="3"/>
        <v>300000</v>
      </c>
      <c r="BX36" s="271">
        <f t="shared" si="3"/>
        <v>905000</v>
      </c>
      <c r="BY36" s="271">
        <f t="shared" si="3"/>
        <v>7300000</v>
      </c>
      <c r="BZ36" s="271">
        <f t="shared" si="3"/>
        <v>5795657.1330000004</v>
      </c>
      <c r="CA36" s="271">
        <f t="shared" si="3"/>
        <v>6400584.023</v>
      </c>
      <c r="CB36" s="271">
        <f t="shared" si="3"/>
        <v>1595000</v>
      </c>
      <c r="CC36" s="271">
        <f t="shared" si="3"/>
        <v>0</v>
      </c>
      <c r="CD36" s="271">
        <f t="shared" si="3"/>
        <v>1000000</v>
      </c>
      <c r="CE36" s="271">
        <f t="shared" si="3"/>
        <v>4043052.6500000004</v>
      </c>
      <c r="CF36" s="271">
        <f t="shared" si="3"/>
        <v>154000</v>
      </c>
      <c r="CG36" s="271">
        <f t="shared" si="3"/>
        <v>45000</v>
      </c>
      <c r="CH36" s="271">
        <f t="shared" si="3"/>
        <v>971000</v>
      </c>
      <c r="CI36" s="271">
        <f t="shared" si="3"/>
        <v>0</v>
      </c>
      <c r="CJ36" s="271">
        <f t="shared" si="3"/>
        <v>0</v>
      </c>
      <c r="CK36" s="271">
        <f t="shared" si="3"/>
        <v>270248.06999999995</v>
      </c>
      <c r="CL36" s="271">
        <f t="shared" si="3"/>
        <v>1119645.32</v>
      </c>
      <c r="CM36" s="271">
        <f t="shared" si="3"/>
        <v>107700</v>
      </c>
      <c r="CN36" s="271">
        <f t="shared" si="3"/>
        <v>5000</v>
      </c>
      <c r="CP36" s="271"/>
      <c r="CQ36" s="271"/>
      <c r="CR36" s="271"/>
      <c r="CS36" s="271"/>
      <c r="CT36" s="271"/>
    </row>
    <row r="37" spans="40:98" x14ac:dyDescent="0.25">
      <c r="AZ37" s="271">
        <f>AZ36-'001 GF Current Expense'!J305</f>
        <v>0</v>
      </c>
      <c r="BA37" s="271">
        <f>BA36-'002 GF Contingency Reserve'!I21</f>
        <v>0</v>
      </c>
      <c r="BB37" s="271">
        <f>BB36-'003 GF Facilities Reserve'!H22</f>
        <v>0</v>
      </c>
      <c r="BC37" s="271">
        <f>BC36-'004 GF Leoff '!H22</f>
        <v>0</v>
      </c>
      <c r="BD37" s="271">
        <f>BD36-'005 GF Solid Waste UT'!H32</f>
        <v>0</v>
      </c>
      <c r="BE37" s="271">
        <f>+BE36-'007 GF PPC Rev'!H17</f>
        <v>0</v>
      </c>
      <c r="BF37" s="271">
        <f>BF36-'101 Streets'!H92</f>
        <v>0</v>
      </c>
      <c r="BG37" s="276">
        <f>BG36-'102 Park Mitigation'!H23</f>
        <v>0</v>
      </c>
      <c r="BH37" s="276">
        <f>BH36-'104 Traffic Mitigation'!H28</f>
        <v>0</v>
      </c>
      <c r="BJ37" s="276">
        <f>BJ36-'107 Local Criminal Justice'!H20</f>
        <v>0</v>
      </c>
      <c r="BK37" s="276">
        <f>BK36-'113 TBD'!H21</f>
        <v>0</v>
      </c>
      <c r="BL37" s="276">
        <f>BL36-'114 Streets'!H11</f>
        <v>0</v>
      </c>
      <c r="BM37" s="276">
        <f>BM36-'115 ARPA'!H10</f>
        <v>0</v>
      </c>
      <c r="BN37" s="276">
        <f>BN36-'198 Hotel Motel'!H17</f>
        <v>0</v>
      </c>
      <c r="BO37" s="271">
        <f>BO36-'214 SPL Debt'!H22</f>
        <v>0</v>
      </c>
      <c r="BP37" s="271">
        <f>+BP36-'215 LaBounty Bond'!H28</f>
        <v>0</v>
      </c>
      <c r="BQ37" s="271">
        <f>BQ36-'216 LaBounty Bond '!H15</f>
        <v>0</v>
      </c>
      <c r="BR37" s="271">
        <f>BR36-'217 LaBounty GO'!H19</f>
        <v>0</v>
      </c>
      <c r="BS37" s="271">
        <f>+BS36-'218 LTGO Bond'!H34</f>
        <v>0</v>
      </c>
      <c r="BT37" s="271">
        <f>+BT36-'219 LTGO'!H20</f>
        <v>0</v>
      </c>
      <c r="BU37" s="271">
        <f>BU36-'220 Library LTGO'!H14</f>
        <v>0</v>
      </c>
      <c r="BV37" s="271">
        <f>BV36-'301 REET'!H13</f>
        <v>0</v>
      </c>
      <c r="BW37" s="271">
        <f>+BW36-'302 REET'!H14</f>
        <v>0</v>
      </c>
      <c r="BX37" s="271">
        <f>+BX36-'310 MW Skate Park'!H16</f>
        <v>0</v>
      </c>
      <c r="BY37" s="271">
        <f>+BY36-'370 Thornton'!H29</f>
        <v>0</v>
      </c>
      <c r="BZ37" s="271">
        <f>+BZ36-'401 Water'!H91</f>
        <v>0</v>
      </c>
      <c r="CA37" s="271">
        <f>+CA36-'402 Sewer'!H66</f>
        <v>0</v>
      </c>
      <c r="CB37" s="271">
        <f>+CB36-'403 WS Bond'!H23</f>
        <v>0</v>
      </c>
      <c r="CC37" s="271">
        <f>+CC36-'404 Sewer Bond'!H16</f>
        <v>0</v>
      </c>
      <c r="CD37" s="271">
        <f>+CD36-'405 WWTP Debt'!H16</f>
        <v>0</v>
      </c>
      <c r="CE37" s="271">
        <f>+CE36-'407 Storm Flood Control'!H84</f>
        <v>0</v>
      </c>
      <c r="CF37" s="271">
        <f>+CF36-'408 Utility Loan'!H28</f>
        <v>0</v>
      </c>
      <c r="CG37" s="271"/>
      <c r="CH37" s="271">
        <f>+CH36-'413 WTP Upgrade'!H13</f>
        <v>-150000</v>
      </c>
      <c r="CI37" s="271">
        <f>+CI36-'414 Shop Well'!H12</f>
        <v>0</v>
      </c>
      <c r="CJ37" s="271">
        <f>+CJ36-'415 WWTP'!H14</f>
        <v>0</v>
      </c>
      <c r="CK37" s="271">
        <f>+CK36-'510 Computer'!H30</f>
        <v>0</v>
      </c>
      <c r="CL37" s="271">
        <f>CL36-'550 Equipment'!H52</f>
        <v>0</v>
      </c>
      <c r="CM37" s="271">
        <f>CM36-'650 Court Agency'!H22</f>
        <v>0</v>
      </c>
      <c r="CN37" s="271">
        <f>CN36-'651 Court Activity'!H10</f>
        <v>0</v>
      </c>
      <c r="CP37" s="271"/>
      <c r="CQ37" s="271"/>
      <c r="CR37" s="271"/>
      <c r="CS37" s="271"/>
      <c r="CT37" s="271"/>
    </row>
    <row r="38" spans="40:98" x14ac:dyDescent="0.25">
      <c r="BO38" s="271"/>
      <c r="BP38" s="271"/>
      <c r="BQ38" s="271"/>
      <c r="BR38" s="271"/>
      <c r="BS38" s="271"/>
      <c r="BT38" s="271"/>
      <c r="BU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  <c r="CM38" s="271"/>
      <c r="CN38" s="271"/>
      <c r="CP38" s="271"/>
      <c r="CQ38" s="271"/>
      <c r="CR38" s="271"/>
      <c r="CS38" s="271"/>
      <c r="CT38" s="271"/>
    </row>
    <row r="39" spans="40:98" x14ac:dyDescent="0.25">
      <c r="BO39" s="271"/>
      <c r="BP39" s="271"/>
      <c r="BQ39" s="271"/>
      <c r="BR39" s="271"/>
      <c r="BS39" s="271"/>
      <c r="BT39" s="271"/>
      <c r="BU39" s="271"/>
      <c r="BZ39" s="271"/>
      <c r="CA39" s="27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P39" s="271"/>
      <c r="CQ39" s="271"/>
      <c r="CR39" s="271"/>
      <c r="CS39" s="271"/>
      <c r="CT39" s="271"/>
    </row>
    <row r="40" spans="40:98" x14ac:dyDescent="0.25">
      <c r="AY40" s="274" t="s">
        <v>4074</v>
      </c>
      <c r="AZ40" s="92"/>
      <c r="BO40" s="271"/>
      <c r="BP40" s="271"/>
      <c r="BQ40" s="271"/>
      <c r="BR40" s="271"/>
      <c r="BS40" s="271"/>
      <c r="BT40" s="271"/>
      <c r="BU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  <c r="CM40" s="271"/>
      <c r="CN40" s="271"/>
      <c r="CO40" s="271"/>
      <c r="CP40" s="271"/>
      <c r="CQ40" s="271"/>
      <c r="CR40" s="271"/>
      <c r="CS40" s="271"/>
      <c r="CT40" s="271"/>
    </row>
    <row r="41" spans="40:98" x14ac:dyDescent="0.25">
      <c r="AU41" s="326" t="s">
        <v>4074</v>
      </c>
      <c r="AV41" s="326"/>
      <c r="AW41" s="326"/>
      <c r="AY41" s="274"/>
      <c r="AZ41" s="272" t="s">
        <v>3471</v>
      </c>
      <c r="BA41" s="273" t="s">
        <v>3472</v>
      </c>
      <c r="BB41" s="272" t="s">
        <v>3473</v>
      </c>
      <c r="BC41" s="273" t="s">
        <v>3474</v>
      </c>
      <c r="BD41" s="273" t="s">
        <v>3475</v>
      </c>
      <c r="BE41" s="273" t="s">
        <v>3476</v>
      </c>
      <c r="BF41" s="92">
        <v>101</v>
      </c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CH41" s="271"/>
      <c r="CI41" s="271"/>
      <c r="CJ41" s="271"/>
      <c r="CK41" s="271"/>
      <c r="CL41" s="271"/>
      <c r="CM41" s="271"/>
      <c r="CN41" s="271"/>
      <c r="CO41" s="271"/>
      <c r="CP41" s="271"/>
      <c r="CQ41" s="271"/>
      <c r="CR41" s="271"/>
      <c r="CS41" s="271"/>
      <c r="CT41" s="271"/>
    </row>
    <row r="42" spans="40:98" x14ac:dyDescent="0.25">
      <c r="AU42" s="274" t="s">
        <v>4089</v>
      </c>
      <c r="AV42" s="275">
        <f t="shared" ref="AV42:AV58" si="4">AW42/$AW$60</f>
        <v>3.7933994265377923E-3</v>
      </c>
      <c r="AW42" s="271">
        <f t="shared" ref="AW42:AW58" si="5">SUM(AZ42:CN42)</f>
        <v>245599.24659571535</v>
      </c>
      <c r="AY42" s="274" t="s">
        <v>4089</v>
      </c>
      <c r="AZ42" s="271">
        <f>+'001 GF Current Expense'!J386</f>
        <v>245599.24659571535</v>
      </c>
      <c r="BA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P42" s="271"/>
      <c r="CQ42" s="271"/>
      <c r="CR42" s="271"/>
      <c r="CS42" s="271"/>
      <c r="CT42" s="271"/>
    </row>
    <row r="43" spans="40:98" x14ac:dyDescent="0.25">
      <c r="AU43" s="274" t="s">
        <v>4093</v>
      </c>
      <c r="AV43" s="275">
        <f t="shared" si="4"/>
        <v>1.5445484785147425E-2</v>
      </c>
      <c r="AW43" s="271">
        <f t="shared" si="5"/>
        <v>1000000</v>
      </c>
      <c r="AY43" s="274" t="s">
        <v>4093</v>
      </c>
      <c r="BA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>
        <f>+'115 ARPA'!H26</f>
        <v>1000000</v>
      </c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  <c r="CM43" s="271"/>
      <c r="CN43" s="271"/>
      <c r="CP43" s="271"/>
      <c r="CQ43" s="271"/>
      <c r="CR43" s="271"/>
      <c r="CS43" s="271"/>
      <c r="CT43" s="271"/>
    </row>
    <row r="44" spans="40:98" x14ac:dyDescent="0.25">
      <c r="AU44" s="274" t="s">
        <v>1393</v>
      </c>
      <c r="AV44" s="275">
        <f t="shared" si="4"/>
        <v>7.2827410136604848E-2</v>
      </c>
      <c r="AW44" s="271">
        <f t="shared" si="5"/>
        <v>4715126.21</v>
      </c>
      <c r="AY44" s="274" t="s">
        <v>1393</v>
      </c>
      <c r="BA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>
        <f>+'214 SPL Debt'!H35</f>
        <v>118497</v>
      </c>
      <c r="BP44" s="271">
        <f>+'215 LaBounty Bond'!H33+'215 LaBounty Bond'!H37</f>
        <v>19772.23</v>
      </c>
      <c r="BQ44" s="271"/>
      <c r="BR44" s="271">
        <f>+'217 LaBounty GO'!H24+'217 LaBounty GO'!H28</f>
        <v>0</v>
      </c>
      <c r="BS44" s="271">
        <f>+'218 LTGO Bond'!H39+'218 LTGO Bond'!H44</f>
        <v>316820.40000000002</v>
      </c>
      <c r="BT44" s="271">
        <f>+'219 LTGO'!H25+'219 LTGO'!H30</f>
        <v>163000</v>
      </c>
      <c r="BU44" s="271">
        <f>+'220 Library LTGO'!H16+'220 Library LTGO'!H17</f>
        <v>187100.96</v>
      </c>
      <c r="BV44" s="271"/>
      <c r="BW44" s="271"/>
      <c r="BX44" s="271"/>
      <c r="BY44" s="271">
        <f>+'370 Thornton'!H45+'370 Thornton'!H46</f>
        <v>0</v>
      </c>
      <c r="BZ44" s="271"/>
      <c r="CA44" s="271"/>
      <c r="CB44" s="271">
        <f>+'403 WS Bond'!H34+'403 WS Bond'!H48+'403 WS Bond'!H50+'403 WS Bond'!H51+'403 WS Bond'!H52+'403 WS Bond'!H53+'403 WS Bond'!H54</f>
        <v>1590019.3</v>
      </c>
      <c r="CC44" s="271"/>
      <c r="CD44" s="271">
        <f>+'405 WWTP Debt'!H21+'405 WWTP Debt'!H25</f>
        <v>2117134.3199999998</v>
      </c>
      <c r="CE44" s="271">
        <f>+'407 Storm Flood Control'!H134</f>
        <v>0</v>
      </c>
      <c r="CF44" s="271">
        <f>+'408 Utility Loan'!H37+'408 Utility Loan'!H44</f>
        <v>150407.00999999998</v>
      </c>
      <c r="CG44" s="271">
        <f>+'409 CCWA Debt'!H16+'409 CCWA Debt'!H17+'409 CCWA Debt'!H18</f>
        <v>52374.99</v>
      </c>
      <c r="CH44" s="271"/>
      <c r="CI44" s="271"/>
      <c r="CJ44" s="271">
        <f>+'415 WWTP'!H19+'415 WWTP'!H20+'415 WWTP'!H21</f>
        <v>0</v>
      </c>
      <c r="CK44" s="271"/>
      <c r="CL44" s="271"/>
      <c r="CM44" s="271"/>
      <c r="CN44" s="271"/>
      <c r="CP44" s="271"/>
      <c r="CQ44" s="271"/>
      <c r="CR44" s="271"/>
      <c r="CS44" s="271"/>
      <c r="CT44" s="271"/>
    </row>
    <row r="45" spans="40:98" x14ac:dyDescent="0.25">
      <c r="AU45" s="274" t="s">
        <v>4087</v>
      </c>
      <c r="AV45" s="275">
        <f t="shared" si="4"/>
        <v>7.5515123077324149E-3</v>
      </c>
      <c r="AW45" s="271">
        <f t="shared" si="5"/>
        <v>488913.90673564642</v>
      </c>
      <c r="AY45" s="274" t="s">
        <v>4087</v>
      </c>
      <c r="AZ45" s="271">
        <f>+'001 GF Current Expense'!J409</f>
        <v>488913.90673564642</v>
      </c>
      <c r="BA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  <c r="CM45" s="271"/>
      <c r="CN45" s="271"/>
      <c r="CP45" s="271"/>
      <c r="CQ45" s="271"/>
      <c r="CR45" s="271"/>
      <c r="CS45" s="271"/>
      <c r="CT45" s="271"/>
    </row>
    <row r="46" spans="40:98" x14ac:dyDescent="0.25">
      <c r="AU46" s="274" t="s">
        <v>4086</v>
      </c>
      <c r="AV46" s="275">
        <f t="shared" si="4"/>
        <v>1.699003326366217E-3</v>
      </c>
      <c r="AW46" s="271">
        <f t="shared" si="5"/>
        <v>110000</v>
      </c>
      <c r="AY46" s="274" t="s">
        <v>4086</v>
      </c>
      <c r="AZ46" s="271">
        <f>+'001 GF Current Expense'!J435</f>
        <v>110000</v>
      </c>
      <c r="BA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CH46" s="271"/>
      <c r="CI46" s="271"/>
      <c r="CJ46" s="271"/>
      <c r="CK46" s="271"/>
      <c r="CL46" s="271"/>
      <c r="CM46" s="271"/>
      <c r="CN46" s="271"/>
      <c r="CP46" s="271"/>
      <c r="CQ46" s="271"/>
      <c r="CR46" s="271"/>
      <c r="CS46" s="271"/>
      <c r="CT46" s="271"/>
    </row>
    <row r="47" spans="40:98" x14ac:dyDescent="0.25">
      <c r="AU47" s="274" t="s">
        <v>4090</v>
      </c>
      <c r="AV47" s="275">
        <f t="shared" si="4"/>
        <v>1.2527174659180519E-3</v>
      </c>
      <c r="AW47" s="271">
        <f t="shared" si="5"/>
        <v>81105.739531250001</v>
      </c>
      <c r="AY47" s="274" t="s">
        <v>4090</v>
      </c>
      <c r="AZ47" s="271">
        <f>+'001 GF Current Expense'!J317</f>
        <v>81105.739531250001</v>
      </c>
      <c r="BA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  <c r="CM47" s="271"/>
      <c r="CN47" s="271"/>
      <c r="CP47" s="271"/>
      <c r="CQ47" s="271"/>
      <c r="CR47" s="271"/>
      <c r="CS47" s="271"/>
      <c r="CT47" s="271"/>
    </row>
    <row r="48" spans="40:98" x14ac:dyDescent="0.25">
      <c r="AU48" s="274" t="s">
        <v>4095</v>
      </c>
      <c r="AV48" s="275">
        <f t="shared" si="4"/>
        <v>3.8100546542721397E-3</v>
      </c>
      <c r="AW48" s="271">
        <f t="shared" si="5"/>
        <v>246677.57000000004</v>
      </c>
      <c r="AY48" s="274" t="s">
        <v>4095</v>
      </c>
      <c r="AZ48" s="271">
        <f>'001 GF Current Expense'!J653</f>
        <v>246677.57000000004</v>
      </c>
      <c r="BA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P48" s="271"/>
      <c r="CQ48" s="271"/>
      <c r="CR48" s="271"/>
      <c r="CS48" s="271"/>
      <c r="CT48" s="271"/>
    </row>
    <row r="49" spans="1:98" ht="34.5" x14ac:dyDescent="0.45">
      <c r="A49" s="325" t="s">
        <v>4131</v>
      </c>
      <c r="B49" s="325"/>
      <c r="C49" s="325"/>
      <c r="D49" s="325"/>
      <c r="E49" s="325"/>
      <c r="F49" s="325"/>
      <c r="G49" s="325"/>
      <c r="H49" s="325"/>
      <c r="I49" s="325"/>
      <c r="J49" s="325"/>
      <c r="K49" s="325"/>
      <c r="L49" s="325"/>
      <c r="M49" s="325"/>
      <c r="N49" s="325"/>
      <c r="AU49" s="274" t="s">
        <v>4088</v>
      </c>
      <c r="AV49" s="275">
        <f t="shared" si="4"/>
        <v>1.2187249031886064E-2</v>
      </c>
      <c r="AW49" s="271">
        <f t="shared" si="5"/>
        <v>789049.30479135737</v>
      </c>
      <c r="AY49" s="274" t="s">
        <v>4088</v>
      </c>
      <c r="AZ49" s="271">
        <f>+'001 GF Current Expense'!J346</f>
        <v>673349.30479135737</v>
      </c>
      <c r="BA49" s="271"/>
      <c r="BC49" s="271"/>
      <c r="BD49" s="271"/>
      <c r="BE49" s="271"/>
      <c r="BF49" s="271"/>
      <c r="BG49" s="271"/>
      <c r="BH49" s="271"/>
      <c r="BI49" s="271"/>
      <c r="BJ49" s="271"/>
      <c r="BK49" s="271"/>
      <c r="BL49" s="271"/>
      <c r="BM49" s="271"/>
      <c r="BN49" s="271"/>
      <c r="BO49" s="271"/>
      <c r="BP49" s="271"/>
      <c r="BQ49" s="271"/>
      <c r="BR49" s="271"/>
      <c r="BS49" s="271"/>
      <c r="BT49" s="271"/>
      <c r="BU49" s="271"/>
      <c r="BV49" s="271"/>
      <c r="BW49" s="271"/>
      <c r="BX49" s="271"/>
      <c r="BY49" s="271"/>
      <c r="BZ49" s="271"/>
      <c r="CA49" s="271"/>
      <c r="CB49" s="271"/>
      <c r="CC49" s="271"/>
      <c r="CD49" s="271"/>
      <c r="CE49" s="271"/>
      <c r="CF49" s="271"/>
      <c r="CG49" s="271"/>
      <c r="CH49" s="271"/>
      <c r="CI49" s="271"/>
      <c r="CJ49" s="271"/>
      <c r="CK49" s="271"/>
      <c r="CL49" s="271"/>
      <c r="CM49" s="271">
        <f>+'650 Court Agency'!H33</f>
        <v>110700</v>
      </c>
      <c r="CN49" s="271">
        <f>+'651 Court Activity'!H13</f>
        <v>5000</v>
      </c>
      <c r="CP49" s="271"/>
      <c r="CQ49" s="271"/>
      <c r="CR49" s="271"/>
      <c r="CS49" s="271"/>
      <c r="CT49" s="271"/>
    </row>
    <row r="50" spans="1:98" x14ac:dyDescent="0.25">
      <c r="AU50" s="274" t="s">
        <v>4085</v>
      </c>
      <c r="AV50" s="275">
        <f t="shared" si="4"/>
        <v>3.147572220901234E-2</v>
      </c>
      <c r="AW50" s="271">
        <f t="shared" si="5"/>
        <v>2037859.1314453138</v>
      </c>
      <c r="AY50" s="274" t="s">
        <v>4085</v>
      </c>
      <c r="AZ50" s="271">
        <f>+'001 GF Current Expense'!J487+'001 GF Current Expense'!J623+'001 GF Current Expense'!J673+'001 GF Current Expense'!J677+'001 GF Current Expense'!J737+'001 GF Current Expense'!J777</f>
        <v>1084661.2258397415</v>
      </c>
      <c r="BA50" s="271"/>
      <c r="BC50" s="271"/>
      <c r="BD50" s="271"/>
      <c r="BE50" s="271"/>
      <c r="BF50" s="271"/>
      <c r="BG50" s="271"/>
      <c r="BH50" s="271"/>
      <c r="BI50" s="271"/>
      <c r="BJ50" s="271"/>
      <c r="BK50" s="271"/>
      <c r="BL50" s="271"/>
      <c r="BM50" s="271"/>
      <c r="BN50" s="271"/>
      <c r="BO50" s="271"/>
      <c r="BP50" s="271"/>
      <c r="BQ50" s="271"/>
      <c r="BR50" s="271"/>
      <c r="BS50" s="271"/>
      <c r="BT50" s="271"/>
      <c r="BU50" s="271"/>
      <c r="BV50" s="271"/>
      <c r="BW50" s="271"/>
      <c r="BX50" s="271"/>
      <c r="BY50" s="271"/>
      <c r="BZ50" s="271"/>
      <c r="CA50" s="271"/>
      <c r="CB50" s="271"/>
      <c r="CC50" s="271"/>
      <c r="CD50" s="271"/>
      <c r="CE50" s="271"/>
      <c r="CF50" s="271"/>
      <c r="CG50" s="271"/>
      <c r="CH50" s="271"/>
      <c r="CI50" s="271"/>
      <c r="CJ50" s="271"/>
      <c r="CK50" s="271">
        <f>+'510 Computer'!H42</f>
        <v>273500</v>
      </c>
      <c r="CL50" s="271">
        <f>SUM('550 Equipment'!H55:H77)</f>
        <v>679697.90560557239</v>
      </c>
      <c r="CM50" s="271"/>
      <c r="CN50" s="271"/>
      <c r="CP50" s="271"/>
      <c r="CQ50" s="271"/>
      <c r="CR50" s="271"/>
      <c r="CS50" s="271"/>
      <c r="CT50" s="271"/>
    </row>
    <row r="51" spans="1:98" x14ac:dyDescent="0.25">
      <c r="AU51" s="274" t="s">
        <v>4084</v>
      </c>
      <c r="AV51" s="275">
        <f t="shared" si="4"/>
        <v>3.5162177992825061E-2</v>
      </c>
      <c r="AW51" s="271">
        <f t="shared" si="5"/>
        <v>2276534.4359173146</v>
      </c>
      <c r="AY51" s="274" t="s">
        <v>4084</v>
      </c>
      <c r="AZ51" s="271">
        <f>+'001 GF Current Expense'!J720+'001 GF Current Expense'!J731</f>
        <v>1173416.8819173146</v>
      </c>
      <c r="BA51" s="271"/>
      <c r="BC51" s="271"/>
      <c r="BD51" s="271"/>
      <c r="BE51" s="271">
        <f>+'007 GF PPC Rev'!H34</f>
        <v>50301.54</v>
      </c>
      <c r="BF51" s="271"/>
      <c r="BG51" s="271"/>
      <c r="BH51" s="271"/>
      <c r="BI51" s="271"/>
      <c r="BJ51" s="271"/>
      <c r="BK51" s="271"/>
      <c r="BL51" s="271"/>
      <c r="BM51" s="271"/>
      <c r="BN51" s="271">
        <f>SUM('198 Hotel Motel'!H19:H32)</f>
        <v>51821</v>
      </c>
      <c r="BO51" s="271"/>
      <c r="BP51" s="271"/>
      <c r="BQ51" s="271"/>
      <c r="BR51" s="271"/>
      <c r="BS51" s="271"/>
      <c r="BT51" s="271"/>
      <c r="BU51" s="271"/>
      <c r="BV51" s="271"/>
      <c r="BW51" s="271"/>
      <c r="BX51" s="271">
        <f>SUM('310 MW Skate Park'!H18:H25)</f>
        <v>1000995.014</v>
      </c>
      <c r="BY51" s="271"/>
      <c r="BZ51" s="271"/>
      <c r="CA51" s="271"/>
      <c r="CB51" s="271"/>
      <c r="CC51" s="271"/>
      <c r="CD51" s="271"/>
      <c r="CE51" s="271"/>
      <c r="CF51" s="271"/>
      <c r="CG51" s="271"/>
      <c r="CH51" s="271"/>
      <c r="CI51" s="271"/>
      <c r="CJ51" s="271"/>
      <c r="CK51" s="271"/>
      <c r="CL51" s="271"/>
      <c r="CM51" s="271"/>
      <c r="CN51" s="271"/>
      <c r="CP51" s="271"/>
      <c r="CQ51" s="271"/>
      <c r="CR51" s="271"/>
      <c r="CS51" s="271"/>
      <c r="CT51" s="271"/>
    </row>
    <row r="52" spans="1:98" x14ac:dyDescent="0.25">
      <c r="AU52" s="274" t="s">
        <v>4083</v>
      </c>
      <c r="AV52" s="275">
        <f t="shared" si="4"/>
        <v>2.0905484377840355E-2</v>
      </c>
      <c r="AW52" s="271">
        <f t="shared" si="5"/>
        <v>1353501.3415663932</v>
      </c>
      <c r="AY52" s="274" t="s">
        <v>4083</v>
      </c>
      <c r="AZ52" s="271">
        <f>+'001 GF Current Expense'!J618+'001 GF Current Expense'!J771</f>
        <v>1353501.3415663932</v>
      </c>
      <c r="BA52" s="271"/>
      <c r="BC52" s="271"/>
      <c r="BD52" s="271"/>
      <c r="BE52" s="271"/>
      <c r="BF52" s="271"/>
      <c r="BG52" s="271"/>
      <c r="BH52" s="271"/>
      <c r="BI52" s="271"/>
      <c r="BJ52" s="271"/>
      <c r="BK52" s="271"/>
      <c r="BL52" s="271"/>
      <c r="BM52" s="271"/>
      <c r="BN52" s="271"/>
      <c r="BO52" s="271"/>
      <c r="BP52" s="271"/>
      <c r="BQ52" s="271"/>
      <c r="BR52" s="271"/>
      <c r="BS52" s="271"/>
      <c r="BT52" s="271"/>
      <c r="BU52" s="271"/>
      <c r="BV52" s="271"/>
      <c r="BW52" s="271"/>
      <c r="BX52" s="271"/>
      <c r="BY52" s="271"/>
      <c r="BZ52" s="271"/>
      <c r="CA52" s="271"/>
      <c r="CB52" s="271"/>
      <c r="CC52" s="271"/>
      <c r="CD52" s="271"/>
      <c r="CE52" s="271"/>
      <c r="CF52" s="271"/>
      <c r="CG52" s="271"/>
      <c r="CH52" s="271"/>
      <c r="CI52" s="271"/>
      <c r="CJ52" s="271"/>
      <c r="CK52" s="271"/>
      <c r="CL52" s="271"/>
      <c r="CM52" s="271"/>
      <c r="CN52" s="271"/>
      <c r="CP52" s="271"/>
      <c r="CQ52" s="271"/>
      <c r="CR52" s="271"/>
      <c r="CS52" s="271"/>
      <c r="CT52" s="271"/>
    </row>
    <row r="53" spans="1:98" x14ac:dyDescent="0.25">
      <c r="AU53" s="274" t="s">
        <v>4081</v>
      </c>
      <c r="AV53" s="275">
        <f t="shared" si="4"/>
        <v>9.6658333254025522E-2</v>
      </c>
      <c r="AW53" s="271">
        <f t="shared" si="5"/>
        <v>6258031.6900751088</v>
      </c>
      <c r="AY53" s="274" t="s">
        <v>4081</v>
      </c>
      <c r="AZ53" s="271">
        <f>+'001 GF Current Expense'!J572+'001 GF Current Expense'!J593</f>
        <v>6188031.6900751088</v>
      </c>
      <c r="BA53" s="271"/>
      <c r="BC53" s="271">
        <f>+'004 GF Leoff '!H27</f>
        <v>70000</v>
      </c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P53" s="271"/>
      <c r="CQ53" s="271"/>
      <c r="CR53" s="271"/>
      <c r="CS53" s="271"/>
      <c r="CT53" s="271"/>
    </row>
    <row r="54" spans="1:98" x14ac:dyDescent="0.25">
      <c r="AU54" s="274" t="s">
        <v>4082</v>
      </c>
      <c r="AV54" s="275">
        <f t="shared" si="4"/>
        <v>0.12706788674266961</v>
      </c>
      <c r="AW54" s="271">
        <f t="shared" si="5"/>
        <v>8226862.9641757635</v>
      </c>
      <c r="AY54" s="274" t="s">
        <v>4082</v>
      </c>
      <c r="AZ54" s="271">
        <f>+'001 GF Current Expense'!J669</f>
        <v>363103.32011554809</v>
      </c>
      <c r="BA54" s="271"/>
      <c r="BC54" s="271"/>
      <c r="BD54" s="271"/>
      <c r="BE54" s="271"/>
      <c r="BF54" s="271">
        <f>+'101 Streets'!H144+'101 Streets'!H170+'101 Streets'!H200+'101 Streets'!H204+'101 Streets'!H219+'101 Streets'!H236+'101 Streets'!H248</f>
        <v>1482243.0363889211</v>
      </c>
      <c r="BG54" s="271"/>
      <c r="BH54" s="271"/>
      <c r="BI54" s="271"/>
      <c r="BJ54" s="271"/>
      <c r="BK54" s="271"/>
      <c r="BL54" s="271"/>
      <c r="BM54" s="271"/>
      <c r="BN54" s="271"/>
      <c r="BO54" s="271"/>
      <c r="BP54" s="271"/>
      <c r="BQ54" s="271"/>
      <c r="BR54" s="271"/>
      <c r="BS54" s="271"/>
      <c r="BT54" s="271"/>
      <c r="BU54" s="271"/>
      <c r="BV54" s="271"/>
      <c r="BW54" s="271"/>
      <c r="BX54" s="271"/>
      <c r="BY54" s="271"/>
      <c r="BZ54" s="271">
        <f>+'401 Water'!H123+'401 Water'!H150+'401 Water'!H188+'401 Water'!H190+'401 Water'!H246+'401 Water'!H251</f>
        <v>2634064.8366414728</v>
      </c>
      <c r="CA54" s="271">
        <f>+'402 Sewer'!H94+'402 Sewer'!H118+'402 Sewer'!H124+'402 Sewer'!H163+'402 Sewer'!H213</f>
        <v>2545171.6472264165</v>
      </c>
      <c r="CB54" s="271"/>
      <c r="CC54" s="271"/>
      <c r="CD54" s="271"/>
      <c r="CE54" s="271">
        <f>+'407 Storm Flood Control'!H132+'407 Storm Flood Control'!H184</f>
        <v>1202280.1238034051</v>
      </c>
      <c r="CF54" s="271"/>
      <c r="CG54" s="271"/>
      <c r="CH54" s="271"/>
      <c r="CI54" s="271"/>
      <c r="CJ54" s="271"/>
      <c r="CK54" s="271"/>
      <c r="CL54" s="271"/>
      <c r="CM54" s="271"/>
      <c r="CN54" s="271"/>
      <c r="CP54" s="271"/>
      <c r="CQ54" s="271"/>
      <c r="CR54" s="271"/>
      <c r="CS54" s="271"/>
      <c r="CT54" s="271"/>
    </row>
    <row r="55" spans="1:98" x14ac:dyDescent="0.25">
      <c r="AU55" s="274" t="s">
        <v>4096</v>
      </c>
      <c r="AV55" s="275">
        <f t="shared" si="4"/>
        <v>0.42277380953905536</v>
      </c>
      <c r="AW55" s="271">
        <f t="shared" si="5"/>
        <v>27372000</v>
      </c>
      <c r="AY55" s="274" t="s">
        <v>4096</v>
      </c>
      <c r="BA55" s="271"/>
      <c r="BC55" s="271"/>
      <c r="BD55" s="271"/>
      <c r="BE55" s="271"/>
      <c r="BF55" s="271">
        <f>+'101 Streets'!H133</f>
        <v>4780000</v>
      </c>
      <c r="BG55" s="271"/>
      <c r="BH55" s="271"/>
      <c r="BI55" s="271"/>
      <c r="BJ55" s="271"/>
      <c r="BK55" s="271"/>
      <c r="BL55" s="271"/>
      <c r="BM55" s="271"/>
      <c r="BN55" s="271"/>
      <c r="BO55" s="271"/>
      <c r="BP55" s="271"/>
      <c r="BQ55" s="271"/>
      <c r="BR55" s="271"/>
      <c r="BS55" s="271"/>
      <c r="BT55" s="271"/>
      <c r="BU55" s="271"/>
      <c r="BV55" s="271"/>
      <c r="BW55" s="271"/>
      <c r="BX55" s="271"/>
      <c r="BY55" s="271">
        <f>+'370 Thornton'!H42</f>
        <v>7275000</v>
      </c>
      <c r="BZ55" s="271">
        <f>+'401 Water'!H216</f>
        <v>3782000</v>
      </c>
      <c r="CA55" s="271">
        <f>+'402 Sewer'!H187</f>
        <v>802500</v>
      </c>
      <c r="CB55" s="271"/>
      <c r="CC55" s="271"/>
      <c r="CD55" s="271"/>
      <c r="CE55" s="271">
        <f>+'407 Storm Flood Control'!H150+SUM('407 Storm Flood Control'!H152:H159)</f>
        <v>5507500</v>
      </c>
      <c r="CF55" s="271"/>
      <c r="CG55" s="271"/>
      <c r="CH55" s="271">
        <f>+'413 WTP Upgrade'!H16+'413 WTP Upgrade'!H17</f>
        <v>5200000</v>
      </c>
      <c r="CI55" s="271"/>
      <c r="CJ55" s="271">
        <f>+'415 WWTP'!H17+'415 WWTP'!H18</f>
        <v>0</v>
      </c>
      <c r="CK55" s="271">
        <f>+'510 Computer'!H46</f>
        <v>25000</v>
      </c>
      <c r="CL55" s="271"/>
      <c r="CM55" s="271"/>
      <c r="CN55" s="271"/>
      <c r="CP55" s="271"/>
      <c r="CQ55" s="271"/>
      <c r="CR55" s="271"/>
      <c r="CS55" s="271"/>
      <c r="CT55" s="271"/>
    </row>
    <row r="56" spans="1:98" x14ac:dyDescent="0.25">
      <c r="AU56" s="274" t="s">
        <v>4091</v>
      </c>
      <c r="AV56" s="275">
        <f t="shared" si="4"/>
        <v>6.7577021767682797E-3</v>
      </c>
      <c r="AW56" s="271">
        <f t="shared" si="5"/>
        <v>437519.59040266392</v>
      </c>
      <c r="AY56" s="274" t="s">
        <v>4091</v>
      </c>
      <c r="AZ56" s="271">
        <f>+'001 GF Current Expense'!J370</f>
        <v>437519.59040266392</v>
      </c>
      <c r="BA56" s="271"/>
      <c r="BC56" s="271"/>
      <c r="BD56" s="271"/>
      <c r="BE56" s="271"/>
      <c r="BF56" s="271"/>
      <c r="BG56" s="271"/>
      <c r="BH56" s="271"/>
      <c r="BI56" s="271"/>
      <c r="BJ56" s="271"/>
      <c r="BK56" s="271"/>
      <c r="BL56" s="271"/>
      <c r="BM56" s="271"/>
      <c r="BN56" s="271"/>
      <c r="BO56" s="271"/>
      <c r="BP56" s="271"/>
      <c r="BQ56" s="271"/>
      <c r="BR56" s="271"/>
      <c r="BS56" s="271"/>
      <c r="BT56" s="271"/>
      <c r="BU56" s="271"/>
      <c r="BV56" s="271"/>
      <c r="BW56" s="271"/>
      <c r="BX56" s="271"/>
      <c r="BY56" s="271"/>
      <c r="BZ56" s="271"/>
      <c r="CA56" s="271"/>
      <c r="CB56" s="271"/>
      <c r="CC56" s="271"/>
      <c r="CD56" s="271"/>
      <c r="CE56" s="271"/>
      <c r="CF56" s="271"/>
      <c r="CG56" s="271"/>
      <c r="CH56" s="271"/>
      <c r="CI56" s="271"/>
      <c r="CJ56" s="271"/>
      <c r="CK56" s="271"/>
      <c r="CL56" s="271"/>
      <c r="CM56" s="271"/>
      <c r="CN56" s="271"/>
      <c r="CP56" s="271"/>
      <c r="CQ56" s="271"/>
      <c r="CR56" s="271"/>
      <c r="CS56" s="271"/>
      <c r="CT56" s="271"/>
    </row>
    <row r="57" spans="1:98" x14ac:dyDescent="0.25">
      <c r="AU57" s="274" t="s">
        <v>4092</v>
      </c>
      <c r="AV57" s="275">
        <f t="shared" si="4"/>
        <v>2.3602114055025374E-3</v>
      </c>
      <c r="AW57" s="271">
        <f t="shared" si="5"/>
        <v>152809.15026844264</v>
      </c>
      <c r="AY57" s="274" t="s">
        <v>4092</v>
      </c>
      <c r="AZ57" s="271">
        <f>+'001 GF Current Expense'!J428</f>
        <v>152809.15026844264</v>
      </c>
      <c r="BA57" s="271"/>
      <c r="BC57" s="271"/>
      <c r="BD57" s="271"/>
      <c r="BE57" s="271"/>
      <c r="BF57" s="271"/>
      <c r="BG57" s="271"/>
      <c r="BH57" s="271"/>
      <c r="BI57" s="271"/>
      <c r="BJ57" s="271"/>
      <c r="BK57" s="271"/>
      <c r="BL57" s="271"/>
      <c r="BM57" s="271"/>
      <c r="BN57" s="271"/>
      <c r="BO57" s="271"/>
      <c r="BP57" s="271"/>
      <c r="BQ57" s="271"/>
      <c r="BR57" s="271"/>
      <c r="BS57" s="271"/>
      <c r="BT57" s="271"/>
      <c r="BU57" s="271"/>
      <c r="BV57" s="271"/>
      <c r="BW57" s="271"/>
      <c r="BX57" s="271"/>
      <c r="BY57" s="271"/>
      <c r="BZ57" s="271"/>
      <c r="CA57" s="271"/>
      <c r="CB57" s="271"/>
      <c r="CC57" s="271"/>
      <c r="CD57" s="271"/>
      <c r="CE57" s="271"/>
      <c r="CF57" s="271"/>
      <c r="CG57" s="271"/>
      <c r="CH57" s="271"/>
      <c r="CI57" s="271"/>
      <c r="CJ57" s="271"/>
      <c r="CK57" s="271"/>
      <c r="CL57" s="271"/>
      <c r="CM57" s="271"/>
      <c r="CN57" s="271"/>
      <c r="CP57" s="271"/>
      <c r="CQ57" s="271"/>
      <c r="CR57" s="271"/>
      <c r="CS57" s="271"/>
      <c r="CT57" s="271"/>
    </row>
    <row r="58" spans="1:98" x14ac:dyDescent="0.25">
      <c r="AU58" s="274" t="s">
        <v>4094</v>
      </c>
      <c r="AV58" s="275">
        <f t="shared" si="4"/>
        <v>0.13827184116783606</v>
      </c>
      <c r="AW58" s="271">
        <f t="shared" si="5"/>
        <v>8952250</v>
      </c>
      <c r="AY58" s="274" t="s">
        <v>4094</v>
      </c>
      <c r="AZ58" s="271">
        <f>+'001 GF Current Expense'!J800</f>
        <v>485000</v>
      </c>
      <c r="BA58" s="271">
        <f>+'002 GF Contingency Reserve'!I23</f>
        <v>0</v>
      </c>
      <c r="BB58" s="271">
        <f>+'003 GF Facilities Reserve'!H24</f>
        <v>0</v>
      </c>
      <c r="BC58" s="271"/>
      <c r="BD58" s="271">
        <f>+'005 GF Solid Waste UT'!H47</f>
        <v>2000000</v>
      </c>
      <c r="BE58" s="271"/>
      <c r="BF58" s="271">
        <f>SUM('101 Streets'!H250:H269)</f>
        <v>176750</v>
      </c>
      <c r="BG58" s="271">
        <f>+'102 Park Mitigation'!H29</f>
        <v>220000</v>
      </c>
      <c r="BH58" s="271">
        <f>+'104 Traffic Mitigation'!H35</f>
        <v>0</v>
      </c>
      <c r="BI58" s="271">
        <f>+'106 Criminal Justice'!H25</f>
        <v>25000</v>
      </c>
      <c r="BJ58" s="271">
        <f>+'107 Local Criminal Justice'!H22</f>
        <v>400000</v>
      </c>
      <c r="BK58" s="271">
        <f>+'113 TBD'!H28</f>
        <v>500000</v>
      </c>
      <c r="BL58" s="271"/>
      <c r="BM58" s="271"/>
      <c r="BN58" s="271">
        <f>+'198 Hotel Motel'!H33+'198 Hotel Motel'!H34</f>
        <v>24000</v>
      </c>
      <c r="BO58" s="271"/>
      <c r="BP58" s="271">
        <f>+'215 LaBounty Bond'!H40</f>
        <v>0</v>
      </c>
      <c r="BQ58" s="271">
        <f>+'216 LaBounty Bond '!H17</f>
        <v>5000</v>
      </c>
      <c r="BR58" s="271"/>
      <c r="BS58" s="271"/>
      <c r="BT58" s="271"/>
      <c r="BU58" s="271"/>
      <c r="BV58" s="271">
        <f>SUM('301 REET'!H15:H21)</f>
        <v>285000</v>
      </c>
      <c r="BW58" s="271">
        <f>SUM('302 REET'!H16:H21)</f>
        <v>375000</v>
      </c>
      <c r="BX58" s="271"/>
      <c r="BY58" s="271">
        <f>+'370 Thornton'!H44</f>
        <v>0</v>
      </c>
      <c r="BZ58" s="271">
        <f>+'401 Water'!H241</f>
        <v>1198000</v>
      </c>
      <c r="CA58" s="271">
        <f>+'402 Sewer'!H207</f>
        <v>1804250</v>
      </c>
      <c r="CB58" s="271"/>
      <c r="CC58" s="271">
        <f>+'404 Sewer Bond'!H23</f>
        <v>0</v>
      </c>
      <c r="CD58" s="271"/>
      <c r="CE58" s="271">
        <f>+'407 Storm Flood Control'!H179</f>
        <v>233250</v>
      </c>
      <c r="CF58" s="271"/>
      <c r="CG58" s="271"/>
      <c r="CH58" s="271"/>
      <c r="CI58" s="271">
        <f>+'414 Shop Well'!H15+'414 Shop Well'!H16</f>
        <v>371000</v>
      </c>
      <c r="CJ58" s="271"/>
      <c r="CK58" s="271"/>
      <c r="CL58" s="271">
        <f>+'550 Equipment'!H124</f>
        <v>850000</v>
      </c>
      <c r="CM58" s="271"/>
      <c r="CN58" s="271"/>
      <c r="CP58" s="271"/>
      <c r="CQ58" s="271"/>
      <c r="CR58" s="271"/>
      <c r="CS58" s="271"/>
      <c r="CT58" s="271"/>
    </row>
    <row r="59" spans="1:98" x14ac:dyDescent="0.25">
      <c r="BA59" s="271"/>
      <c r="BC59" s="271"/>
      <c r="BD59" s="271"/>
      <c r="BE59" s="271"/>
      <c r="BF59" s="271"/>
      <c r="BG59" s="271"/>
      <c r="BH59" s="271"/>
      <c r="BI59" s="271"/>
      <c r="BJ59" s="271"/>
      <c r="BK59" s="271"/>
      <c r="BL59" s="271"/>
      <c r="BM59" s="271"/>
      <c r="BN59" s="271"/>
      <c r="BO59" s="271"/>
      <c r="BP59" s="271"/>
      <c r="BQ59" s="271"/>
      <c r="BR59" s="271"/>
      <c r="BS59" s="271"/>
      <c r="BT59" s="271"/>
      <c r="BU59" s="271"/>
      <c r="BV59" s="271"/>
      <c r="BW59" s="271"/>
      <c r="BX59" s="271"/>
      <c r="BY59" s="271"/>
      <c r="BZ59" s="271"/>
      <c r="CA59" s="271"/>
      <c r="CB59" s="271"/>
      <c r="CC59" s="271"/>
      <c r="CD59" s="271"/>
      <c r="CE59" s="271"/>
      <c r="CF59" s="271"/>
      <c r="CG59" s="271"/>
      <c r="CH59" s="271"/>
      <c r="CI59" s="271"/>
      <c r="CJ59" s="271"/>
      <c r="CK59" s="271"/>
      <c r="CL59" s="271"/>
      <c r="CM59" s="271"/>
      <c r="CN59" s="271"/>
      <c r="CO59" s="271"/>
      <c r="CP59" s="271"/>
      <c r="CQ59" s="271"/>
      <c r="CR59" s="271"/>
      <c r="CS59" s="271"/>
      <c r="CT59" s="271"/>
    </row>
    <row r="60" spans="1:98" x14ac:dyDescent="0.25">
      <c r="AW60" s="276">
        <f>SUM(AW42:AW59)</f>
        <v>64743840.281504966</v>
      </c>
      <c r="AZ60" s="271">
        <f t="shared" ref="AZ60:CN60" si="6">SUM(AZ42:AZ59)</f>
        <v>13083688.967839183</v>
      </c>
      <c r="BA60" s="271">
        <f t="shared" si="6"/>
        <v>0</v>
      </c>
      <c r="BB60" s="271">
        <f t="shared" si="6"/>
        <v>0</v>
      </c>
      <c r="BC60" s="271">
        <f t="shared" si="6"/>
        <v>70000</v>
      </c>
      <c r="BD60" s="271">
        <f t="shared" si="6"/>
        <v>2000000</v>
      </c>
      <c r="BE60" s="271">
        <f t="shared" si="6"/>
        <v>50301.54</v>
      </c>
      <c r="BF60" s="271">
        <f t="shared" si="6"/>
        <v>6438993.0363889206</v>
      </c>
      <c r="BG60" s="271">
        <f t="shared" si="6"/>
        <v>220000</v>
      </c>
      <c r="BH60" s="271">
        <f t="shared" si="6"/>
        <v>0</v>
      </c>
      <c r="BI60" s="271">
        <f t="shared" si="6"/>
        <v>25000</v>
      </c>
      <c r="BJ60" s="271">
        <f t="shared" si="6"/>
        <v>400000</v>
      </c>
      <c r="BK60" s="271">
        <f t="shared" si="6"/>
        <v>500000</v>
      </c>
      <c r="BL60" s="271">
        <f t="shared" si="6"/>
        <v>0</v>
      </c>
      <c r="BM60" s="271">
        <f t="shared" si="6"/>
        <v>1000000</v>
      </c>
      <c r="BN60" s="271">
        <f t="shared" si="6"/>
        <v>75821</v>
      </c>
      <c r="BO60" s="271">
        <f t="shared" si="6"/>
        <v>118497</v>
      </c>
      <c r="BP60" s="271">
        <f t="shared" si="6"/>
        <v>19772.23</v>
      </c>
      <c r="BQ60" s="271">
        <f t="shared" si="6"/>
        <v>5000</v>
      </c>
      <c r="BR60" s="271">
        <f t="shared" si="6"/>
        <v>0</v>
      </c>
      <c r="BS60" s="271">
        <f t="shared" si="6"/>
        <v>316820.40000000002</v>
      </c>
      <c r="BT60" s="271">
        <f t="shared" si="6"/>
        <v>163000</v>
      </c>
      <c r="BU60" s="271">
        <f t="shared" si="6"/>
        <v>187100.96</v>
      </c>
      <c r="BV60" s="271">
        <f t="shared" si="6"/>
        <v>285000</v>
      </c>
      <c r="BW60" s="271">
        <f t="shared" si="6"/>
        <v>375000</v>
      </c>
      <c r="BX60" s="271">
        <f t="shared" si="6"/>
        <v>1000995.014</v>
      </c>
      <c r="BY60" s="271">
        <f t="shared" si="6"/>
        <v>7275000</v>
      </c>
      <c r="BZ60" s="271">
        <f t="shared" si="6"/>
        <v>7614064.8366414728</v>
      </c>
      <c r="CA60" s="271">
        <f t="shared" si="6"/>
        <v>5151921.6472264165</v>
      </c>
      <c r="CB60" s="271">
        <f t="shared" si="6"/>
        <v>1590019.3</v>
      </c>
      <c r="CC60" s="271">
        <f t="shared" si="6"/>
        <v>0</v>
      </c>
      <c r="CD60" s="271">
        <f t="shared" si="6"/>
        <v>2117134.3199999998</v>
      </c>
      <c r="CE60" s="271">
        <f t="shared" si="6"/>
        <v>6943030.1238034051</v>
      </c>
      <c r="CF60" s="271">
        <f t="shared" si="6"/>
        <v>150407.00999999998</v>
      </c>
      <c r="CG60" s="271">
        <f t="shared" si="6"/>
        <v>52374.99</v>
      </c>
      <c r="CH60" s="271">
        <f t="shared" si="6"/>
        <v>5200000</v>
      </c>
      <c r="CI60" s="271">
        <f t="shared" si="6"/>
        <v>371000</v>
      </c>
      <c r="CJ60" s="271">
        <f t="shared" si="6"/>
        <v>0</v>
      </c>
      <c r="CK60" s="271">
        <f t="shared" si="6"/>
        <v>298500</v>
      </c>
      <c r="CL60" s="271">
        <f t="shared" si="6"/>
        <v>1529697.9056055723</v>
      </c>
      <c r="CM60" s="271">
        <f t="shared" si="6"/>
        <v>110700</v>
      </c>
      <c r="CN60" s="271">
        <f t="shared" si="6"/>
        <v>5000</v>
      </c>
      <c r="CO60" s="271"/>
      <c r="CP60" s="271"/>
      <c r="CQ60" s="271"/>
      <c r="CR60" s="271"/>
      <c r="CS60" s="271"/>
      <c r="CT60" s="271"/>
    </row>
    <row r="61" spans="1:98" x14ac:dyDescent="0.25">
      <c r="AU61" s="92" t="s">
        <v>4096</v>
      </c>
      <c r="AV61" s="275">
        <f>AV55</f>
        <v>0.42277380953905536</v>
      </c>
      <c r="AZ61" s="271">
        <f>AZ60-'001 GF Current Expense'!J802</f>
        <v>0</v>
      </c>
      <c r="BA61" s="271">
        <f>BA60-'002 GF Contingency Reserve'!I24</f>
        <v>0</v>
      </c>
      <c r="BB61" s="271">
        <f>BB60-'003 GF Facilities Reserve'!H25</f>
        <v>0</v>
      </c>
      <c r="BC61" s="271">
        <f>BC60-'004 GF Leoff '!H27</f>
        <v>0</v>
      </c>
      <c r="BD61" s="271">
        <f>BD60-'005 GF Solid Waste UT'!H47</f>
        <v>0</v>
      </c>
      <c r="BE61" s="271">
        <f>+BE60-'007 GF PPC Rev'!H34</f>
        <v>0</v>
      </c>
      <c r="BF61" s="271">
        <f>BF60-'101 Streets'!H271</f>
        <v>0</v>
      </c>
      <c r="BG61" s="276">
        <f>BG60-'102 Park Mitigation'!H29</f>
        <v>0</v>
      </c>
      <c r="BH61" s="276">
        <f>BH60-'104 Traffic Mitigation'!H35</f>
        <v>0</v>
      </c>
      <c r="BI61" s="276">
        <f>BI60-'106 Criminal Justice'!H28</f>
        <v>0</v>
      </c>
      <c r="BJ61" s="276">
        <f>BJ60-'107 Local Criminal Justice'!H23</f>
        <v>0</v>
      </c>
      <c r="BK61" s="276">
        <f>BK60-'113 TBD'!H28</f>
        <v>0</v>
      </c>
      <c r="BL61" s="276">
        <f>BL60-'114 Streets'!H20</f>
        <v>0</v>
      </c>
      <c r="BM61" s="276">
        <f>BM60-'115 ARPA'!H26</f>
        <v>0</v>
      </c>
      <c r="BN61" s="276">
        <f>BN60-'198 Hotel Motel'!H35</f>
        <v>0</v>
      </c>
      <c r="BO61" s="271">
        <f>BO60-'214 SPL Debt'!H35</f>
        <v>0</v>
      </c>
      <c r="BP61" s="271">
        <f>BP60-'215 LaBounty Bond'!H43</f>
        <v>0</v>
      </c>
      <c r="BQ61" s="271">
        <f>BQ60-'216 LaBounty Bond '!H18</f>
        <v>0</v>
      </c>
      <c r="BR61" s="271">
        <f>BR60-'217 LaBounty GO'!H30</f>
        <v>0</v>
      </c>
      <c r="BS61" s="271">
        <f>+BS60-'218 LTGO Bond'!H49</f>
        <v>0</v>
      </c>
      <c r="BT61" s="271">
        <f>+BT60-'219 LTGO'!H32</f>
        <v>0</v>
      </c>
      <c r="BU61" s="271">
        <f>+BU60-'220 Library LTGO'!H18</f>
        <v>0</v>
      </c>
      <c r="BV61" s="271">
        <f>BV60-'301 REET'!H22</f>
        <v>0</v>
      </c>
      <c r="BW61" s="271">
        <f>+BW60-'302 REET'!H22</f>
        <v>0</v>
      </c>
      <c r="BX61" s="271">
        <f>+BX60-'310 MW Skate Park'!H26</f>
        <v>0</v>
      </c>
      <c r="BY61" s="271">
        <f>+BY60-'370 Thornton'!H48</f>
        <v>0</v>
      </c>
      <c r="BZ61" s="271">
        <f>+BZ60-'401 Water'!H253</f>
        <v>0</v>
      </c>
      <c r="CA61" s="271">
        <f>+CA60-'402 Sewer'!H215</f>
        <v>0</v>
      </c>
      <c r="CB61" s="271">
        <f>+CB60-'403 WS Bond'!H56</f>
        <v>0</v>
      </c>
      <c r="CC61" s="271">
        <f>+CC60-'404 Sewer Bond'!H25</f>
        <v>0</v>
      </c>
      <c r="CD61" s="271">
        <f>+CD60-'405 WWTP Debt'!H27</f>
        <v>0</v>
      </c>
      <c r="CE61" s="271">
        <f>+CE60-'407 Storm Flood Control'!H186</f>
        <v>0</v>
      </c>
      <c r="CF61" s="271">
        <f>+CF60-'408 Utility Loan'!H45</f>
        <v>0</v>
      </c>
      <c r="CG61" s="271">
        <f>+CG60-'409 CCWA Debt'!H19</f>
        <v>0</v>
      </c>
      <c r="CH61" s="271">
        <f>+CH60-'413 WTP Upgrade'!H18</f>
        <v>0</v>
      </c>
      <c r="CI61" s="271">
        <f>+CI60-'414 Shop Well'!H17</f>
        <v>0</v>
      </c>
      <c r="CJ61" s="271">
        <f>+CJ60-'415 WWTP'!H22</f>
        <v>0</v>
      </c>
      <c r="CK61" s="271">
        <f>+CK60-'510 Computer'!H48</f>
        <v>0</v>
      </c>
      <c r="CL61" s="271">
        <f>CL60-'550 Equipment'!H126</f>
        <v>0</v>
      </c>
      <c r="CM61" s="271">
        <f>CM60-'650 Court Agency'!H35</f>
        <v>0</v>
      </c>
      <c r="CN61" s="271">
        <f>CN60-'651 Court Activity'!H14</f>
        <v>0</v>
      </c>
      <c r="CO61" s="271"/>
      <c r="CP61" s="271"/>
      <c r="CQ61" s="271"/>
      <c r="CR61" s="271"/>
      <c r="CS61" s="271"/>
      <c r="CT61" s="271"/>
    </row>
    <row r="62" spans="1:98" x14ac:dyDescent="0.25">
      <c r="AP62" s="271" t="s">
        <v>4123</v>
      </c>
      <c r="AU62" s="92" t="s">
        <v>4094</v>
      </c>
      <c r="AV62" s="275">
        <f>AV58</f>
        <v>0.13827184116783606</v>
      </c>
      <c r="BO62" s="271"/>
      <c r="BP62" s="271"/>
      <c r="BQ62" s="271"/>
      <c r="BR62" s="271"/>
      <c r="BS62" s="271"/>
      <c r="BT62" s="271"/>
      <c r="BU62" s="271"/>
      <c r="BV62" s="271"/>
      <c r="BW62" s="271"/>
      <c r="BX62" s="271"/>
      <c r="BY62" s="271"/>
      <c r="BZ62" s="271"/>
      <c r="CA62" s="271"/>
      <c r="CB62" s="271"/>
      <c r="CC62" s="271"/>
      <c r="CD62" s="271"/>
      <c r="CE62" s="271"/>
      <c r="CF62" s="271"/>
      <c r="CG62" s="271"/>
      <c r="CH62" s="271"/>
      <c r="CI62" s="271"/>
      <c r="CJ62" s="271"/>
      <c r="CK62" s="271"/>
      <c r="CL62" s="271"/>
      <c r="CM62" s="271"/>
      <c r="CN62" s="271"/>
      <c r="CO62" s="271"/>
      <c r="CP62" s="271"/>
      <c r="CQ62" s="271"/>
      <c r="CR62" s="271"/>
      <c r="CS62" s="271"/>
      <c r="CT62" s="271"/>
    </row>
    <row r="63" spans="1:98" x14ac:dyDescent="0.25">
      <c r="AP63" s="271" t="s">
        <v>1432</v>
      </c>
      <c r="AQ63" s="92">
        <f>+'370 Thornton'!H42</f>
        <v>7275000</v>
      </c>
      <c r="AR63" s="275">
        <f t="shared" ref="AR63:AR69" si="7">AQ63/$AQ$70</f>
        <v>0.26578255151249452</v>
      </c>
      <c r="AU63" s="92" t="s">
        <v>4082</v>
      </c>
      <c r="AV63" s="275">
        <f>+AV54</f>
        <v>0.12706788674266961</v>
      </c>
      <c r="BO63" s="271"/>
      <c r="BP63" s="271"/>
      <c r="BQ63" s="271"/>
      <c r="BR63" s="271"/>
      <c r="BS63" s="271"/>
      <c r="BT63" s="271"/>
      <c r="BU63" s="271"/>
      <c r="BZ63" s="271"/>
      <c r="CA63" s="271"/>
      <c r="CB63" s="271"/>
      <c r="CC63" s="271"/>
      <c r="CD63" s="271"/>
      <c r="CE63" s="271"/>
      <c r="CF63" s="271"/>
      <c r="CG63" s="271"/>
      <c r="CH63" s="271"/>
      <c r="CI63" s="271"/>
      <c r="CJ63" s="271"/>
      <c r="CK63" s="271"/>
      <c r="CL63" s="271"/>
      <c r="CM63" s="271"/>
      <c r="CN63" s="271"/>
      <c r="CO63" s="271"/>
      <c r="CP63" s="271"/>
      <c r="CQ63" s="271"/>
      <c r="CR63" s="271"/>
      <c r="CS63" s="271"/>
      <c r="CT63" s="271"/>
    </row>
    <row r="64" spans="1:98" x14ac:dyDescent="0.25">
      <c r="AP64" s="271" t="s">
        <v>3978</v>
      </c>
      <c r="AQ64" s="92">
        <f>+'407 Storm Flood Control'!H150+'407 Storm Flood Control'!H152+'407 Storm Flood Control'!H153+'407 Storm Flood Control'!H154+'407 Storm Flood Control'!H155+'407 Storm Flood Control'!H156+'407 Storm Flood Control'!H157+'407 Storm Flood Control'!H158+'407 Storm Flood Control'!H159</f>
        <v>5507500</v>
      </c>
      <c r="AR64" s="275">
        <f t="shared" si="7"/>
        <v>0.20120926494227678</v>
      </c>
      <c r="AU64" s="92" t="s">
        <v>4081</v>
      </c>
      <c r="AV64" s="275">
        <f>+AV53</f>
        <v>9.6658333254025522E-2</v>
      </c>
      <c r="BO64" s="271"/>
      <c r="BP64" s="271"/>
      <c r="BQ64" s="271"/>
      <c r="BR64" s="271"/>
      <c r="BS64" s="271"/>
      <c r="BT64" s="271"/>
      <c r="BU64" s="271"/>
      <c r="BZ64" s="271"/>
      <c r="CA64" s="271"/>
      <c r="CB64" s="271"/>
      <c r="CC64" s="271"/>
      <c r="CD64" s="271"/>
      <c r="CE64" s="271"/>
      <c r="CF64" s="271"/>
      <c r="CG64" s="271"/>
      <c r="CH64" s="271"/>
      <c r="CI64" s="271"/>
      <c r="CJ64" s="271"/>
      <c r="CK64" s="271"/>
      <c r="CL64" s="271"/>
      <c r="CM64" s="271"/>
      <c r="CN64" s="271"/>
      <c r="CO64" s="271"/>
      <c r="CP64" s="271"/>
      <c r="CQ64" s="271"/>
      <c r="CR64" s="271"/>
      <c r="CS64" s="271"/>
      <c r="CT64" s="271"/>
    </row>
    <row r="65" spans="1:98" x14ac:dyDescent="0.25">
      <c r="AP65" s="271" t="s">
        <v>4125</v>
      </c>
      <c r="AQ65" s="92">
        <f>+'413 WTP Upgrade'!H18</f>
        <v>5200000</v>
      </c>
      <c r="AR65" s="275">
        <f t="shared" si="7"/>
        <v>0.18997515709484145</v>
      </c>
      <c r="AU65" s="92" t="s">
        <v>1393</v>
      </c>
      <c r="AV65" s="275">
        <f>+AV44</f>
        <v>7.2827410136604848E-2</v>
      </c>
      <c r="BO65" s="271"/>
      <c r="BP65" s="271"/>
      <c r="BQ65" s="271"/>
      <c r="BR65" s="271"/>
      <c r="BS65" s="271"/>
      <c r="BT65" s="271"/>
      <c r="BU65" s="271"/>
      <c r="CK65" s="271"/>
      <c r="CL65" s="271"/>
      <c r="CM65" s="271"/>
      <c r="CN65" s="271"/>
      <c r="CO65" s="271"/>
      <c r="CP65" s="271"/>
      <c r="CQ65" s="271"/>
      <c r="CR65" s="271"/>
      <c r="CS65" s="271"/>
      <c r="CT65" s="271"/>
    </row>
    <row r="66" spans="1:98" x14ac:dyDescent="0.25">
      <c r="AP66" s="271" t="s">
        <v>4124</v>
      </c>
      <c r="AQ66" s="92">
        <f>+'101 Streets'!H133</f>
        <v>4780000</v>
      </c>
      <c r="AR66" s="275">
        <f t="shared" si="7"/>
        <v>0.17463100979102733</v>
      </c>
      <c r="AU66" s="92" t="s">
        <v>4084</v>
      </c>
      <c r="AV66" s="275">
        <f>+AV51</f>
        <v>3.5162177992825061E-2</v>
      </c>
      <c r="BO66" s="271"/>
      <c r="BP66" s="271"/>
      <c r="BQ66" s="271"/>
      <c r="BR66" s="271"/>
      <c r="BS66" s="271"/>
      <c r="BT66" s="271"/>
      <c r="BU66" s="271"/>
      <c r="CK66" s="271"/>
      <c r="CL66" s="271"/>
      <c r="CM66" s="271"/>
      <c r="CN66" s="271"/>
      <c r="CO66" s="271"/>
      <c r="CP66" s="271"/>
      <c r="CQ66" s="271"/>
      <c r="CR66" s="271"/>
      <c r="CS66" s="271"/>
      <c r="CT66" s="271"/>
    </row>
    <row r="67" spans="1:98" x14ac:dyDescent="0.25">
      <c r="AP67" s="271" t="s">
        <v>3980</v>
      </c>
      <c r="AQ67" s="92">
        <f>+'401 Water'!H216</f>
        <v>3782000</v>
      </c>
      <c r="AR67" s="275">
        <f t="shared" si="7"/>
        <v>0.13817039310244045</v>
      </c>
      <c r="AU67" s="92" t="s">
        <v>4085</v>
      </c>
      <c r="AV67" s="275">
        <f>+AV50</f>
        <v>3.147572220901234E-2</v>
      </c>
      <c r="CO67" s="271"/>
      <c r="CP67" s="271"/>
      <c r="CQ67" s="271"/>
      <c r="CR67" s="271"/>
      <c r="CS67" s="271"/>
      <c r="CT67" s="271"/>
    </row>
    <row r="68" spans="1:98" x14ac:dyDescent="0.25">
      <c r="AP68" s="271" t="s">
        <v>3979</v>
      </c>
      <c r="AQ68" s="92">
        <f>+'402 Sewer'!H187</f>
        <v>802500</v>
      </c>
      <c r="AR68" s="275">
        <f t="shared" si="7"/>
        <v>2.9318281455501975E-2</v>
      </c>
      <c r="AU68" s="92" t="s">
        <v>4083</v>
      </c>
      <c r="AV68" s="275">
        <f>+AV52</f>
        <v>2.0905484377840355E-2</v>
      </c>
      <c r="CP68" s="271"/>
      <c r="CQ68" s="271"/>
      <c r="CR68" s="271"/>
      <c r="CS68" s="271"/>
      <c r="CT68" s="271"/>
    </row>
    <row r="69" spans="1:98" x14ac:dyDescent="0.25">
      <c r="AP69" s="271" t="s">
        <v>4126</v>
      </c>
      <c r="AQ69" s="92">
        <f>+'510 Computer'!H46</f>
        <v>25000</v>
      </c>
      <c r="AR69" s="275">
        <f t="shared" si="7"/>
        <v>9.1334210141750692E-4</v>
      </c>
      <c r="AU69" s="92" t="s">
        <v>4093</v>
      </c>
      <c r="AV69" s="275">
        <f>+AV43</f>
        <v>1.5445484785147425E-2</v>
      </c>
      <c r="CP69" s="271"/>
      <c r="CQ69" s="271"/>
      <c r="CR69" s="271"/>
      <c r="CS69" s="271"/>
      <c r="CT69" s="271"/>
    </row>
    <row r="70" spans="1:98" x14ac:dyDescent="0.25">
      <c r="AQ70" s="92">
        <f>SUM(AQ63:AQ69)</f>
        <v>27372000</v>
      </c>
      <c r="AU70" s="92" t="s">
        <v>4088</v>
      </c>
      <c r="AV70" s="275">
        <f>+AV49</f>
        <v>1.2187249031886064E-2</v>
      </c>
      <c r="CP70" s="271"/>
      <c r="CQ70" s="271"/>
      <c r="CR70" s="271"/>
      <c r="CS70" s="271"/>
      <c r="CT70" s="271"/>
    </row>
    <row r="71" spans="1:98" x14ac:dyDescent="0.25">
      <c r="AU71" s="92" t="s">
        <v>4087</v>
      </c>
      <c r="AV71" s="275">
        <f>+AV45</f>
        <v>7.5515123077324149E-3</v>
      </c>
      <c r="CP71" s="271"/>
      <c r="CQ71" s="271"/>
      <c r="CR71" s="271"/>
      <c r="CS71" s="271"/>
      <c r="CT71" s="271"/>
    </row>
    <row r="72" spans="1:98" x14ac:dyDescent="0.25">
      <c r="AU72" s="92" t="s">
        <v>4091</v>
      </c>
      <c r="AV72" s="275">
        <f>+AV56</f>
        <v>6.7577021767682797E-3</v>
      </c>
      <c r="CP72" s="271"/>
      <c r="CQ72" s="271"/>
      <c r="CR72" s="271"/>
      <c r="CS72" s="271"/>
      <c r="CT72" s="271"/>
    </row>
    <row r="73" spans="1:98" x14ac:dyDescent="0.25">
      <c r="AU73" s="92" t="s">
        <v>4089</v>
      </c>
      <c r="AV73" s="275">
        <f>+AV42</f>
        <v>3.7933994265377923E-3</v>
      </c>
    </row>
    <row r="74" spans="1:98" x14ac:dyDescent="0.25">
      <c r="AU74" s="92" t="s">
        <v>4092</v>
      </c>
      <c r="AV74" s="275">
        <f>+AV57</f>
        <v>2.3602114055025374E-3</v>
      </c>
    </row>
    <row r="75" spans="1:98" x14ac:dyDescent="0.25">
      <c r="AU75" s="92" t="s">
        <v>4095</v>
      </c>
      <c r="AV75" s="275">
        <f>+AV48</f>
        <v>3.8100546542721397E-3</v>
      </c>
    </row>
    <row r="76" spans="1:98" x14ac:dyDescent="0.25">
      <c r="AU76" s="92" t="s">
        <v>4086</v>
      </c>
      <c r="AV76" s="275">
        <f>+AV46</f>
        <v>1.699003326366217E-3</v>
      </c>
    </row>
    <row r="77" spans="1:98" x14ac:dyDescent="0.25">
      <c r="AU77" s="92" t="s">
        <v>4090</v>
      </c>
      <c r="AV77" s="275">
        <f>+AV47</f>
        <v>1.2527174659180519E-3</v>
      </c>
    </row>
    <row r="79" spans="1:98" ht="34.5" x14ac:dyDescent="0.45">
      <c r="A79" s="325" t="s">
        <v>4132</v>
      </c>
      <c r="B79" s="325"/>
      <c r="C79" s="325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</row>
    <row r="109" spans="1:14" ht="34.5" x14ac:dyDescent="0.45">
      <c r="A109" s="325" t="s">
        <v>4133</v>
      </c>
      <c r="B109" s="325"/>
      <c r="C109" s="325"/>
      <c r="D109" s="325"/>
      <c r="E109" s="325"/>
      <c r="F109" s="325"/>
      <c r="G109" s="325"/>
      <c r="H109" s="325"/>
      <c r="I109" s="325"/>
      <c r="J109" s="325"/>
      <c r="K109" s="325"/>
      <c r="L109" s="325"/>
      <c r="M109" s="325"/>
      <c r="N109" s="325"/>
    </row>
  </sheetData>
  <sheetProtection algorithmName="SHA-512" hashValue="l8kXmPaN2euyF6c22isdbXAJp8iCfTFzQVrsbxTv6FFQp2bsCLvYYSIAzcyJxOwqJaDqnO9bSEKPJ8BK6fJPTg==" saltValue="QPZ2SRhPRo+fQ0096bfeag==" spinCount="100000" sheet="1" objects="1" scenarios="1"/>
  <sortState xmlns:xlrd2="http://schemas.microsoft.com/office/spreadsheetml/2017/richdata2" ref="AN26:AP34">
    <sortCondition descending="1" ref="AO26:AO34"/>
  </sortState>
  <mergeCells count="11">
    <mergeCell ref="A1:N1"/>
    <mergeCell ref="A3:D3"/>
    <mergeCell ref="I3:O3"/>
    <mergeCell ref="E3:H3"/>
    <mergeCell ref="A20:N20"/>
    <mergeCell ref="A49:N49"/>
    <mergeCell ref="A79:N79"/>
    <mergeCell ref="A109:N109"/>
    <mergeCell ref="AU25:AW25"/>
    <mergeCell ref="AU41:AW41"/>
    <mergeCell ref="AN25:AQ25"/>
  </mergeCells>
  <pageMargins left="0.7" right="0.7" top="0.75" bottom="0.75" header="0.3" footer="0.3"/>
  <pageSetup scale="30" orientation="portrait" r:id="rId1"/>
  <colBreaks count="1" manualBreakCount="1">
    <brk id="29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8D5AE15CFAD54AA512538D3CBCBC15" ma:contentTypeVersion="14" ma:contentTypeDescription="Create a new document." ma:contentTypeScope="" ma:versionID="727cbc0cc7df8604b6fdde69eb131016">
  <xsd:schema xmlns:xsd="http://www.w3.org/2001/XMLSchema" xmlns:xs="http://www.w3.org/2001/XMLSchema" xmlns:p="http://schemas.microsoft.com/office/2006/metadata/properties" xmlns:ns3="4cdbe8f1-5788-4ee4-9906-7d0d3193ed89" xmlns:ns4="82a4c197-0302-4e0f-aad7-db6014720b29" targetNamespace="http://schemas.microsoft.com/office/2006/metadata/properties" ma:root="true" ma:fieldsID="166424e6db101feecb63f92e4e498e94" ns3:_="" ns4:_="">
    <xsd:import namespace="4cdbe8f1-5788-4ee4-9906-7d0d3193ed89"/>
    <xsd:import namespace="82a4c197-0302-4e0f-aad7-db6014720b2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OCR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dbe8f1-5788-4ee4-9906-7d0d3193ed8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a4c197-0302-4e0f-aad7-db6014720b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937A3B9-1982-4622-9F82-58A3182BB4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dbe8f1-5788-4ee4-9906-7d0d3193ed89"/>
    <ds:schemaRef ds:uri="82a4c197-0302-4e0f-aad7-db6014720b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3B1EC1-0386-4477-B98C-7C26739087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DFA9C5-3D80-4837-9CE0-00E0A25C2629}">
  <ds:schemaRefs>
    <ds:schemaRef ds:uri="http://schemas.microsoft.com/office/2006/metadata/properties"/>
    <ds:schemaRef ds:uri="4cdbe8f1-5788-4ee4-9906-7d0d3193ed89"/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infopath/2007/PartnerControls"/>
    <ds:schemaRef ds:uri="http://schemas.microsoft.com/office/2006/documentManagement/types"/>
    <ds:schemaRef ds:uri="82a4c197-0302-4e0f-aad7-db6014720b2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52</vt:i4>
      </vt:variant>
    </vt:vector>
  </HeadingPairs>
  <TitlesOfParts>
    <vt:vector size="109" baseType="lpstr">
      <vt:lpstr>Central Services</vt:lpstr>
      <vt:lpstr>Computer </vt:lpstr>
      <vt:lpstr>Equipment</vt:lpstr>
      <vt:lpstr>Income</vt:lpstr>
      <vt:lpstr>Phone</vt:lpstr>
      <vt:lpstr>Vehicle </vt:lpstr>
      <vt:lpstr>Transfers</vt:lpstr>
      <vt:lpstr>Mayor's Message</vt:lpstr>
      <vt:lpstr>Dashboard</vt:lpstr>
      <vt:lpstr>Fund Balance Report</vt:lpstr>
      <vt:lpstr>001 GF Current Expense</vt:lpstr>
      <vt:lpstr>002 GF Contingency Reserve</vt:lpstr>
      <vt:lpstr>003 GF Facilities Reserve</vt:lpstr>
      <vt:lpstr>004 GF Leoff </vt:lpstr>
      <vt:lpstr>005 GF Solid Waste UT</vt:lpstr>
      <vt:lpstr>007 GF PPC Rev</vt:lpstr>
      <vt:lpstr>101 Streets</vt:lpstr>
      <vt:lpstr>102 Park Mitigation</vt:lpstr>
      <vt:lpstr>104 Traffic Mitigation</vt:lpstr>
      <vt:lpstr>106 Criminal Justice</vt:lpstr>
      <vt:lpstr>107 Local Criminal Justice</vt:lpstr>
      <vt:lpstr>113 TBD</vt:lpstr>
      <vt:lpstr>114 Streets</vt:lpstr>
      <vt:lpstr>115 ARPA</vt:lpstr>
      <vt:lpstr>198 Hotel Motel</vt:lpstr>
      <vt:lpstr>214 SPL Debt</vt:lpstr>
      <vt:lpstr>215 LaBounty Bond</vt:lpstr>
      <vt:lpstr>216 LaBounty Bond </vt:lpstr>
      <vt:lpstr>217 LaBounty GO</vt:lpstr>
      <vt:lpstr>218 LTGO Bond</vt:lpstr>
      <vt:lpstr>219 LTGO</vt:lpstr>
      <vt:lpstr>220 Library LTGO</vt:lpstr>
      <vt:lpstr>301 REET</vt:lpstr>
      <vt:lpstr>302 REET</vt:lpstr>
      <vt:lpstr>310 MW Skate Park</vt:lpstr>
      <vt:lpstr>370 Thornton</vt:lpstr>
      <vt:lpstr>401 Water</vt:lpstr>
      <vt:lpstr>402 Sewer</vt:lpstr>
      <vt:lpstr>403 WS Bond</vt:lpstr>
      <vt:lpstr>404 Sewer Bond</vt:lpstr>
      <vt:lpstr>405 WWTP Debt</vt:lpstr>
      <vt:lpstr>407 Storm Flood Control</vt:lpstr>
      <vt:lpstr>408 Utility Loan</vt:lpstr>
      <vt:lpstr>409 CCWA Debt</vt:lpstr>
      <vt:lpstr>413 WTP Upgrade</vt:lpstr>
      <vt:lpstr>414 Shop Well</vt:lpstr>
      <vt:lpstr>415 WWTP</vt:lpstr>
      <vt:lpstr>510 Computer</vt:lpstr>
      <vt:lpstr>550 Equipment</vt:lpstr>
      <vt:lpstr>650 Court Agency</vt:lpstr>
      <vt:lpstr>651 Court Activity</vt:lpstr>
      <vt:lpstr>6.10.22</vt:lpstr>
      <vt:lpstr>10.05.22</vt:lpstr>
      <vt:lpstr>Exp</vt:lpstr>
      <vt:lpstr>Exp by fund</vt:lpstr>
      <vt:lpstr>Rev</vt:lpstr>
      <vt:lpstr>Rev by Fund</vt:lpstr>
      <vt:lpstr>'001 GF Current Expense'!Print_Area</vt:lpstr>
      <vt:lpstr>'002 GF Contingency Reserve'!Print_Area</vt:lpstr>
      <vt:lpstr>'003 GF Facilities Reserve'!Print_Area</vt:lpstr>
      <vt:lpstr>'004 GF Leoff '!Print_Area</vt:lpstr>
      <vt:lpstr>'005 GF Solid Waste UT'!Print_Area</vt:lpstr>
      <vt:lpstr>'007 GF PPC Rev'!Print_Area</vt:lpstr>
      <vt:lpstr>'10.05.22'!Print_Area</vt:lpstr>
      <vt:lpstr>'101 Streets'!Print_Area</vt:lpstr>
      <vt:lpstr>'102 Park Mitigation'!Print_Area</vt:lpstr>
      <vt:lpstr>'104 Traffic Mitigation'!Print_Area</vt:lpstr>
      <vt:lpstr>'106 Criminal Justice'!Print_Area</vt:lpstr>
      <vt:lpstr>'107 Local Criminal Justice'!Print_Area</vt:lpstr>
      <vt:lpstr>'113 TBD'!Print_Area</vt:lpstr>
      <vt:lpstr>'114 Streets'!Print_Area</vt:lpstr>
      <vt:lpstr>'115 ARPA'!Print_Area</vt:lpstr>
      <vt:lpstr>'198 Hotel Motel'!Print_Area</vt:lpstr>
      <vt:lpstr>'214 SPL Debt'!Print_Area</vt:lpstr>
      <vt:lpstr>'215 LaBounty Bond'!Print_Area</vt:lpstr>
      <vt:lpstr>'216 LaBounty Bond '!Print_Area</vt:lpstr>
      <vt:lpstr>'217 LaBounty GO'!Print_Area</vt:lpstr>
      <vt:lpstr>'218 LTGO Bond'!Print_Area</vt:lpstr>
      <vt:lpstr>'219 LTGO'!Print_Area</vt:lpstr>
      <vt:lpstr>'220 Library LTGO'!Print_Area</vt:lpstr>
      <vt:lpstr>'301 REET'!Print_Area</vt:lpstr>
      <vt:lpstr>'302 REET'!Print_Area</vt:lpstr>
      <vt:lpstr>'310 MW Skate Park'!Print_Area</vt:lpstr>
      <vt:lpstr>'370 Thornton'!Print_Area</vt:lpstr>
      <vt:lpstr>'401 Water'!Print_Area</vt:lpstr>
      <vt:lpstr>'402 Sewer'!Print_Area</vt:lpstr>
      <vt:lpstr>'403 WS Bond'!Print_Area</vt:lpstr>
      <vt:lpstr>'404 Sewer Bond'!Print_Area</vt:lpstr>
      <vt:lpstr>'405 WWTP Debt'!Print_Area</vt:lpstr>
      <vt:lpstr>'407 Storm Flood Control'!Print_Area</vt:lpstr>
      <vt:lpstr>'408 Utility Loan'!Print_Area</vt:lpstr>
      <vt:lpstr>'409 CCWA Debt'!Print_Area</vt:lpstr>
      <vt:lpstr>'413 WTP Upgrade'!Print_Area</vt:lpstr>
      <vt:lpstr>'414 Shop Well'!Print_Area</vt:lpstr>
      <vt:lpstr>'415 WWTP'!Print_Area</vt:lpstr>
      <vt:lpstr>'510 Computer'!Print_Area</vt:lpstr>
      <vt:lpstr>'550 Equipment'!Print_Area</vt:lpstr>
      <vt:lpstr>'650 Court Agency'!Print_Area</vt:lpstr>
      <vt:lpstr>'651 Court Activity'!Print_Area</vt:lpstr>
      <vt:lpstr>Exp!Print_Area</vt:lpstr>
      <vt:lpstr>'Fund Balance Report'!Print_Area</vt:lpstr>
      <vt:lpstr>'Mayor''s Message'!Print_Area</vt:lpstr>
      <vt:lpstr>Rev!Print_Area</vt:lpstr>
      <vt:lpstr>'001 GF Current Expense'!Print_Titles</vt:lpstr>
      <vt:lpstr>'002 GF Contingency Reserve'!Print_Titles</vt:lpstr>
      <vt:lpstr>'101 Streets'!Print_Titles</vt:lpstr>
      <vt:lpstr>'401 Water'!Print_Titles</vt:lpstr>
      <vt:lpstr>'402 Sewer'!Print_Titles</vt:lpstr>
      <vt:lpstr>'407 Storm Flood Control'!Print_Titles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Mallorie Powell</dc:creator>
  <cp:lastModifiedBy>Riley Sweeney</cp:lastModifiedBy>
  <cp:lastPrinted>2022-12-03T00:41:20Z</cp:lastPrinted>
  <dcterms:created xsi:type="dcterms:W3CDTF">2022-06-10T23:00:34Z</dcterms:created>
  <dcterms:modified xsi:type="dcterms:W3CDTF">2022-12-03T00:49:26Z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0x010100838D5AE15CFAD54AA512538D3CBCBC15</vt:lpwstr>
  </property>
</Properties>
</file>